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<sst xmlns="http://schemas.openxmlformats.org/spreadsheetml/2006/main" count="204" uniqueCount="202">
  <si>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</si>
  <si>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</si>
  <si>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</si>
  <si>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</si>
  <si>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</si>
  <si>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</si>
  <si>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</si>
  <si>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</si>
  <si>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</si>
  <si>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</si>
  <si>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</si>
  <si>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</si>
  <si>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</si>
  <si>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</si>
  <si>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</si>
  <si>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</si>
  <si>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</si>
  <si>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</si>
  <si>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</si>
  <si>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</si>
  <si>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</si>
  <si>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</si>
  <si>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</si>
  <si>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</si>
  <si>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</si>
  <si>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</si>
  <si>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</si>
  <si>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</si>
  <si>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</si>
  <si>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</si>
  <si>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</si>
  <si>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</si>
  <si>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</si>
  <si>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</si>
  <si>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</si>
  <si>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</si>
  <si>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</si>
  <si>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</si>
  <si>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</si>
  <si>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</si>
  <si>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</si>
  <si>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</si>
  <si>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</si>
  <si>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</si>
  <si>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</si>
  <si>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</si>
  <si>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</si>
  <si>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</si>
  <si>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</si>
  <si>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</si>
  <si>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</si>
  <si>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</si>
  <si>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</si>
  <si>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</si>
  <si>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</si>
  <si>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</si>
  <si>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</si>
  <si>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</si>
  <si>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</si>
  <si>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</si>
  <si>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</si>
  <si>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</si>
  <si>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</si>
  <si>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</si>
  <si>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</si>
  <si>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</si>
  <si>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</si>
  <si>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</si>
  <si>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</si>
  <si>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</si>
  <si>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</si>
  <si>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</si>
  <si>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</si>
  <si>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</si>
  <si>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</si>
  <si>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</si>
  <si>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</si>
  <si>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</si>
  <si>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</si>
  <si>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</si>
  <si>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</si>
  <si>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</si>
  <si>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</si>
  <si>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</si>
  <si>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</si>
  <si>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</si>
  <si>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</si>
  <si>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</si>
  <si>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</si>
  <si>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</si>
  <si>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</si>
  <si>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</si>
  <si>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</si>
  <si>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</si>
  <si>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</si>
  <si>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</si>
  <si>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</si>
  <si>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</si>
  <si>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</si>
  <si>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</si>
  <si>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</si>
  <si>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</si>
  <si>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</si>
  <si>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</si>
  <si>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</si>
  <si>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</si>
  <si>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</si>
  <si>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</si>
  <si>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</si>
  <si>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</si>
  <si>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</si>
  <si>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</si>
  <si>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</si>
  <si>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</si>
  <si>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</si>
  <si>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</si>
  <si>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</si>
  <si>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</si>
  <si>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</si>
  <si>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</si>
  <si>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</si>
  <si>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</si>
  <si>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</si>
  <si>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</si>
  <si>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</si>
  <si>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</si>
  <si>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</si>
  <si>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</si>
  <si>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</si>
  <si>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</si>
  <si>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</si>
  <si>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</si>
  <si>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</si>
  <si>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</si>
  <si>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</si>
  <si>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</si>
  <si>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</si>
  <si>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</si>
  <si>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</si>
  <si>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</si>
  <si>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</si>
  <si>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</si>
  <si>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</si>
  <si>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</si>
  <si>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</si>
  <si>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</si>
  <si>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</si>
  <si>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</si>
  <si>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</si>
  <si>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</si>
  <si>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</si>
  <si>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</si>
  <si>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</si>
  <si>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</si>
  <si>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</si>
  <si>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</si>
  <si>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</si>
  <si>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</si>
  <si>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</si>
  <si>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</si>
  <si>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</si>
  <si>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</si>
  <si>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</si>
  <si>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</si>
  <si>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</si>
  <si>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</si>
  <si>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</si>
  <si>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</si>
  <si>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</si>
  <si>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</si>
  <si>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</si>
  <si>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</si>
  <si>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</si>
  <si>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</si>
  <si>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</si>
  <si>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</si>
  <si>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</si>
  <si>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</si>
  <si>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</si>
  <si>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</si>
  <si>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</si>
  <si>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</si>
  <si>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</si>
  <si>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</si>
  <si>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</si>
  <si>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</si>
  <si>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</si>
  <si>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</si>
  <si>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</si>
  <si>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</si>
  <si>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</si>
  <si>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</si>
  <si>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</si>
  <si>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</si>
  <si>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</si>
  <si>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</si>
  <si>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</si>
  <si>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</si>
  <si>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</si>
  <si>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</si>
  <si>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</si>
  <si>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14.09.17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</si>
</sst>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80" fontId="37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M14" sqref="AM1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0" style="6" hidden="1" customWidth="1"/>
    <col min="28" max="28" width="9.33203125" style="6" customWidth="1"/>
    <col min="29" max="29" width="13.16015625" style="6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92" t="s">
        <v>24</v>
      </c>
      <c r="E5" s="92" t="s">
        <v>0</v>
      </c>
      <c r="F5" s="92" t="s">
        <v>1</v>
      </c>
      <c r="G5" s="13" t="s">
        <v>2</v>
      </c>
      <c r="H5" s="92" t="s">
        <v>201</v>
      </c>
      <c r="I5" s="86" t="s">
        <v>27</v>
      </c>
      <c r="J5" s="86" t="s">
        <v>200</v>
      </c>
    </row>
    <row r="6" spans="1:25" ht="35.25" customHeight="1">
      <c r="A6" s="100"/>
      <c r="B6" s="14" t="s">
        <v>8</v>
      </c>
      <c r="C6" s="100"/>
      <c r="D6" s="93"/>
      <c r="E6" s="93"/>
      <c r="F6" s="93"/>
      <c r="G6" s="12" t="s">
        <v>25</v>
      </c>
      <c r="H6" s="93"/>
      <c r="I6" s="87"/>
      <c r="J6" s="87"/>
      <c r="L6" s="88" t="s">
        <v>199</v>
      </c>
      <c r="M6" s="86" t="s">
        <v>175</v>
      </c>
      <c r="N6" s="90" t="s">
        <v>176</v>
      </c>
      <c r="O6" s="86" t="s">
        <v>177</v>
      </c>
      <c r="P6" s="86" t="s">
        <v>178</v>
      </c>
      <c r="Q6" s="86" t="s">
        <v>179</v>
      </c>
      <c r="R6" s="86" t="s">
        <v>180</v>
      </c>
      <c r="S6" s="86" t="s">
        <v>181</v>
      </c>
      <c r="T6" s="86" t="s">
        <v>182</v>
      </c>
      <c r="U6" s="86" t="s">
        <v>183</v>
      </c>
      <c r="V6" s="86" t="s">
        <v>184</v>
      </c>
      <c r="W6" s="86" t="s">
        <v>185</v>
      </c>
      <c r="X6" s="86" t="s">
        <v>186</v>
      </c>
      <c r="Y6" s="86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7"/>
      <c r="N7" s="9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80885921.03999999</v>
      </c>
      <c r="I9" s="38">
        <f aca="true" t="shared" si="0" ref="I9:I25">H9/D9*100</f>
        <v>53.57584106149908</v>
      </c>
      <c r="J9" s="63">
        <f>H9/(M9+N9+O9+N26+O26+P9+P26+Q9+R9+S9+Q26+R26+S26+T9+T26+U9+U26)*100</f>
        <v>78.79579015107905</v>
      </c>
      <c r="K9" s="64"/>
      <c r="L9" s="65">
        <f>H10-(M9+N9+O9+P9+Q9+R9+S9+T9+U9)</f>
        <v>-5107703.950000003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29308497.25</v>
      </c>
      <c r="I10" s="39">
        <f t="shared" si="0"/>
        <v>50.44723709327835</v>
      </c>
      <c r="J10" s="69">
        <f>H10/(M9+N9+O9+P9+Q9+R9+S9+T9+U9)*100</f>
        <v>85.15901298833643</v>
      </c>
      <c r="L10" s="65">
        <f>(H11+H14+H15+H17)-(M10+N10+O10+P10+Q10+R10+S10+T10+U10)</f>
        <v>-2672615.219999995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</f>
        <v>7908650.47</v>
      </c>
      <c r="I11" s="78">
        <f>H11/D11*100</f>
        <v>40.98398066511198</v>
      </c>
      <c r="J11" s="83">
        <f>(H11+H13+H14+H15+H16+H17)/(M10+N10+O10+P10+Q10+R10+S10+T10+U10)*100</f>
        <v>87.25335863371279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4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4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</f>
        <v>3409699.58</v>
      </c>
      <c r="I14" s="41">
        <f t="shared" si="0"/>
        <v>74.07984251106299</v>
      </c>
      <c r="J14" s="84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84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84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5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11013901.24</v>
      </c>
      <c r="I18" s="41">
        <f t="shared" si="0"/>
        <v>66.97538562576393</v>
      </c>
      <c r="J18" s="83">
        <f>H18/(M18+N18+O18+P18+Q18+R18+S18+T18+U18)*100</f>
        <v>81.89389139681246</v>
      </c>
      <c r="L18" s="65">
        <f>H18-(M18+N18+O18+P18+Q18+R18+S18+T18+U18)</f>
        <v>-2435088.7300000004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</f>
        <v>3708483.5200000005</v>
      </c>
      <c r="I19" s="41">
        <f t="shared" si="0"/>
        <v>97.06710053249074</v>
      </c>
      <c r="J19" s="84"/>
      <c r="L19" s="65">
        <f>D19-H19</f>
        <v>112052.47999999952</v>
      </c>
      <c r="M19" s="24"/>
      <c r="N19" s="70"/>
      <c r="O19" s="24"/>
      <c r="P19" s="24"/>
      <c r="Q19" s="24"/>
      <c r="R19" s="24"/>
      <c r="S19" s="24"/>
      <c r="T19" s="24">
        <f>E19-H19</f>
        <v>112052.47999999952</v>
      </c>
      <c r="U19" s="24"/>
      <c r="V19" s="24"/>
      <c r="W19" s="24"/>
      <c r="X19" s="24"/>
      <c r="Y19" s="22">
        <f t="shared" si="3"/>
        <v>112052.47999999952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84"/>
      <c r="L20" s="65">
        <f aca="true" t="shared" si="5" ref="L20:L25">D20-H20</f>
        <v>4036307.5</v>
      </c>
      <c r="M20" s="24"/>
      <c r="N20" s="70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84"/>
      <c r="L21" s="65">
        <f t="shared" si="5"/>
        <v>16144.599999999977</v>
      </c>
      <c r="M21" s="24"/>
      <c r="N21" s="70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</f>
        <v>1073849.26</v>
      </c>
      <c r="I22" s="41">
        <f t="shared" si="0"/>
        <v>96.53011461189267</v>
      </c>
      <c r="J22" s="84"/>
      <c r="L22" s="65">
        <f t="shared" si="5"/>
        <v>38600.73999999999</v>
      </c>
      <c r="M22" s="24"/>
      <c r="N22" s="70"/>
      <c r="O22" s="24"/>
      <c r="P22" s="24"/>
      <c r="Q22" s="24"/>
      <c r="R22" s="24"/>
      <c r="S22" s="24"/>
      <c r="T22" s="24">
        <f t="shared" si="6"/>
        <v>38600.73999999999</v>
      </c>
      <c r="U22" s="24"/>
      <c r="V22" s="24"/>
      <c r="W22" s="24"/>
      <c r="X22" s="24"/>
      <c r="Y22" s="22">
        <f t="shared" si="3"/>
        <v>38600.73999999999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4"/>
      <c r="L23" s="65">
        <f t="shared" si="5"/>
        <v>498426</v>
      </c>
      <c r="M23" s="24"/>
      <c r="N23" s="70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</f>
        <v>194940.31999999998</v>
      </c>
      <c r="I24" s="41">
        <f t="shared" si="0"/>
        <v>68.13831769167584</v>
      </c>
      <c r="J24" s="84"/>
      <c r="L24" s="65">
        <f t="shared" si="5"/>
        <v>91154.68000000002</v>
      </c>
      <c r="M24" s="24"/>
      <c r="N24" s="70"/>
      <c r="O24" s="24"/>
      <c r="P24" s="24"/>
      <c r="Q24" s="24"/>
      <c r="R24" s="24"/>
      <c r="S24" s="24"/>
      <c r="T24" s="24">
        <f t="shared" si="6"/>
        <v>91154.68000000002</v>
      </c>
      <c r="U24" s="24"/>
      <c r="V24" s="24"/>
      <c r="W24" s="24"/>
      <c r="X24" s="24"/>
      <c r="Y24" s="22">
        <f t="shared" si="3"/>
        <v>91154.68000000002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</f>
        <v>2084101.24</v>
      </c>
      <c r="I25" s="41">
        <f t="shared" si="0"/>
        <v>76.55905230081103</v>
      </c>
      <c r="J25" s="85"/>
      <c r="L25" s="65">
        <f t="shared" si="5"/>
        <v>638112.76</v>
      </c>
      <c r="M25" s="24"/>
      <c r="N25" s="70"/>
      <c r="O25" s="24"/>
      <c r="P25" s="24"/>
      <c r="Q25" s="24"/>
      <c r="R25" s="24"/>
      <c r="S25" s="24"/>
      <c r="T25" s="24">
        <f t="shared" si="6"/>
        <v>638112.76</v>
      </c>
      <c r="U25" s="24"/>
      <c r="V25" s="24"/>
      <c r="W25" s="24"/>
      <c r="X25" s="24"/>
      <c r="Y25" s="22">
        <f t="shared" si="3"/>
        <v>638112.76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51577423.79</v>
      </c>
      <c r="I26" s="22">
        <f>H26/D26*100</f>
        <v>55.532869918634475</v>
      </c>
      <c r="J26" s="22">
        <f>H26/(N26+O26+P26+Q26+R26+S26+T26+U26)*100</f>
        <v>75.58638891189845</v>
      </c>
      <c r="L26" s="65">
        <f>H26-(M26+N26+O26+P26+Q26+R26+S26+T26+U26)</f>
        <v>-16658967.089999996</v>
      </c>
      <c r="M26" s="71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3598525.89</v>
      </c>
      <c r="V26" s="22">
        <f t="shared" si="7"/>
        <v>7259741.23</v>
      </c>
      <c r="W26" s="22">
        <f t="shared" si="7"/>
        <v>8657397.45</v>
      </c>
      <c r="X26" s="22">
        <f t="shared" si="7"/>
        <v>8723759.120000001</v>
      </c>
      <c r="Y26" s="22">
        <f t="shared" si="7"/>
        <v>92877288.67999999</v>
      </c>
      <c r="Z26" s="68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72" t="e">
        <f>H27/(N27+O27+P27+Q27+R27+S27)*100</f>
        <v>#DIV/0!</v>
      </c>
      <c r="L27" s="65">
        <f aca="true" t="shared" si="11" ref="L27:L90">H27-(M27+N27+O27+P27+Q27+R27+S27+T27+U27)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2" ref="Y27:Y92">SUM(M27:X27)</f>
        <v>0</v>
      </c>
      <c r="Z27" s="68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72" t="e">
        <f>H28/(N28+O28+P28+Q28+R28+S28)*100</f>
        <v>#DIV/0!</v>
      </c>
      <c r="L28" s="65">
        <f t="shared" si="11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2"/>
        <v>0</v>
      </c>
      <c r="Z28" s="68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72" t="e">
        <f>H29/(N29+O29+P29+Q29+R29+S29+T29)*100</f>
        <v>#DIV/0!</v>
      </c>
      <c r="L29" s="65">
        <f t="shared" si="11"/>
        <v>0</v>
      </c>
      <c r="M29" s="73"/>
      <c r="N29" s="73"/>
      <c r="O29" s="73"/>
      <c r="P29" s="73"/>
      <c r="Q29" s="73"/>
      <c r="R29" s="73"/>
      <c r="S29" s="73">
        <v>15340</v>
      </c>
      <c r="T29" s="79">
        <f>107380-122720</f>
        <v>-15340</v>
      </c>
      <c r="U29" s="73"/>
      <c r="V29" s="73">
        <f>30680-30680</f>
        <v>0</v>
      </c>
      <c r="W29" s="73"/>
      <c r="X29" s="73"/>
      <c r="Y29" s="22">
        <f t="shared" si="12"/>
        <v>0</v>
      </c>
      <c r="Z29" s="68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72" t="e">
        <f>H30/(N30+O30+P30+Q30+R30+S30+T30)*100</f>
        <v>#DIV/0!</v>
      </c>
      <c r="L30" s="65">
        <f t="shared" si="11"/>
        <v>0</v>
      </c>
      <c r="M30" s="73"/>
      <c r="N30" s="73"/>
      <c r="O30" s="73"/>
      <c r="P30" s="73"/>
      <c r="Q30" s="73"/>
      <c r="R30" s="73"/>
      <c r="S30" s="73">
        <v>15340</v>
      </c>
      <c r="T30" s="79">
        <f>107380-122720</f>
        <v>-15340</v>
      </c>
      <c r="U30" s="73"/>
      <c r="V30" s="73">
        <f>30680-30680</f>
        <v>0</v>
      </c>
      <c r="W30" s="73"/>
      <c r="X30" s="73"/>
      <c r="Y30" s="22">
        <f t="shared" si="12"/>
        <v>0</v>
      </c>
      <c r="Z30" s="68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2"/>
      <c r="I31" s="42">
        <f t="shared" si="10"/>
        <v>0</v>
      </c>
      <c r="J31" s="72">
        <f>H31/(N31+O31+P31+Q31+R31+S31+T31+U31)*100</f>
        <v>0</v>
      </c>
      <c r="L31" s="65">
        <f t="shared" si="11"/>
        <v>-180560</v>
      </c>
      <c r="M31" s="73"/>
      <c r="N31" s="73"/>
      <c r="O31" s="73"/>
      <c r="P31" s="73"/>
      <c r="Q31" s="73"/>
      <c r="R31" s="73"/>
      <c r="S31" s="73">
        <v>22570</v>
      </c>
      <c r="T31" s="79">
        <v>157990</v>
      </c>
      <c r="U31" s="73"/>
      <c r="V31" s="73">
        <v>45140</v>
      </c>
      <c r="W31" s="73"/>
      <c r="X31" s="73"/>
      <c r="Y31" s="22">
        <f t="shared" si="12"/>
        <v>225700</v>
      </c>
      <c r="Z31" s="68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2"/>
      <c r="I32" s="42">
        <f>H32/D32*100</f>
        <v>0</v>
      </c>
      <c r="J32" s="72">
        <f aca="true" t="shared" si="14" ref="J32:J95">H32/(N32+O32+P32+Q32+R32+S32+T32+U32)*100</f>
        <v>0</v>
      </c>
      <c r="L32" s="65">
        <f t="shared" si="11"/>
        <v>-613600</v>
      </c>
      <c r="M32" s="73"/>
      <c r="N32" s="73"/>
      <c r="O32" s="73"/>
      <c r="P32" s="73"/>
      <c r="Q32" s="73"/>
      <c r="R32" s="73"/>
      <c r="S32" s="73">
        <v>76700</v>
      </c>
      <c r="T32" s="79">
        <v>536900</v>
      </c>
      <c r="U32" s="73"/>
      <c r="V32" s="73">
        <v>153400</v>
      </c>
      <c r="W32" s="73"/>
      <c r="X32" s="73"/>
      <c r="Y32" s="22">
        <f t="shared" si="12"/>
        <v>767000</v>
      </c>
      <c r="Z32" s="68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2"/>
      <c r="I33" s="42">
        <f t="shared" si="10"/>
        <v>0</v>
      </c>
      <c r="J33" s="72">
        <f t="shared" si="14"/>
        <v>0</v>
      </c>
      <c r="L33" s="65">
        <f t="shared" si="11"/>
        <v>-480000</v>
      </c>
      <c r="M33" s="73"/>
      <c r="N33" s="73"/>
      <c r="O33" s="73"/>
      <c r="P33" s="73"/>
      <c r="Q33" s="73"/>
      <c r="R33" s="73"/>
      <c r="S33" s="73">
        <v>60000</v>
      </c>
      <c r="T33" s="79">
        <v>420000</v>
      </c>
      <c r="U33" s="73"/>
      <c r="V33" s="73">
        <v>120000</v>
      </c>
      <c r="W33" s="73"/>
      <c r="X33" s="73"/>
      <c r="Y33" s="22">
        <f t="shared" si="12"/>
        <v>600000</v>
      </c>
      <c r="Z33" s="68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2"/>
      <c r="I34" s="42" t="e">
        <f t="shared" si="10"/>
        <v>#DIV/0!</v>
      </c>
      <c r="J34" s="72" t="e">
        <f t="shared" si="14"/>
        <v>#DIV/0!</v>
      </c>
      <c r="L34" s="65">
        <f t="shared" si="11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79">
        <f>70000-70000</f>
        <v>0</v>
      </c>
      <c r="U34" s="73"/>
      <c r="V34" s="73">
        <f>20000-20000</f>
        <v>0</v>
      </c>
      <c r="W34" s="73"/>
      <c r="X34" s="73"/>
      <c r="Y34" s="22">
        <f t="shared" si="12"/>
        <v>0</v>
      </c>
      <c r="Z34" s="68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2"/>
      <c r="I35" s="42">
        <f t="shared" si="10"/>
        <v>0</v>
      </c>
      <c r="J35" s="72" t="e">
        <f t="shared" si="14"/>
        <v>#DIV/0!</v>
      </c>
      <c r="L35" s="65">
        <f t="shared" si="11"/>
        <v>0</v>
      </c>
      <c r="M35" s="73"/>
      <c r="N35" s="73"/>
      <c r="O35" s="73"/>
      <c r="P35" s="73"/>
      <c r="Q35" s="73"/>
      <c r="R35" s="73"/>
      <c r="S35" s="73">
        <v>62000</v>
      </c>
      <c r="T35" s="79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2"/>
        <v>620000</v>
      </c>
      <c r="Z35" s="68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2"/>
      <c r="I36" s="42" t="e">
        <f t="shared" si="10"/>
        <v>#DIV/0!</v>
      </c>
      <c r="J36" s="72" t="e">
        <f t="shared" si="14"/>
        <v>#DIV/0!</v>
      </c>
      <c r="L36" s="65">
        <f t="shared" si="11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79">
        <f>56000-56000</f>
        <v>0</v>
      </c>
      <c r="U36" s="73"/>
      <c r="V36" s="73">
        <f>16000-16000</f>
        <v>0</v>
      </c>
      <c r="W36" s="73"/>
      <c r="X36" s="73"/>
      <c r="Y36" s="22">
        <f t="shared" si="12"/>
        <v>0</v>
      </c>
      <c r="Z36" s="68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2"/>
      <c r="I37" s="42">
        <f t="shared" si="10"/>
        <v>0</v>
      </c>
      <c r="J37" s="72">
        <f t="shared" si="14"/>
        <v>0</v>
      </c>
      <c r="L37" s="65">
        <f t="shared" si="11"/>
        <v>-160000</v>
      </c>
      <c r="M37" s="73"/>
      <c r="N37" s="73"/>
      <c r="O37" s="73"/>
      <c r="P37" s="73"/>
      <c r="Q37" s="73"/>
      <c r="R37" s="73"/>
      <c r="S37" s="73">
        <v>20000</v>
      </c>
      <c r="T37" s="79">
        <v>140000</v>
      </c>
      <c r="U37" s="73"/>
      <c r="V37" s="73">
        <v>40000</v>
      </c>
      <c r="W37" s="73"/>
      <c r="X37" s="73"/>
      <c r="Y37" s="22">
        <f t="shared" si="12"/>
        <v>200000</v>
      </c>
      <c r="Z37" s="68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2"/>
      <c r="I38" s="42">
        <f t="shared" si="10"/>
        <v>0</v>
      </c>
      <c r="J38" s="72">
        <f t="shared" si="14"/>
        <v>0</v>
      </c>
      <c r="L38" s="65">
        <f t="shared" si="11"/>
        <v>-80000</v>
      </c>
      <c r="M38" s="73"/>
      <c r="N38" s="73"/>
      <c r="O38" s="73"/>
      <c r="P38" s="73"/>
      <c r="Q38" s="73"/>
      <c r="R38" s="73"/>
      <c r="S38" s="73">
        <v>10000</v>
      </c>
      <c r="T38" s="79">
        <v>70000</v>
      </c>
      <c r="U38" s="73"/>
      <c r="V38" s="73">
        <v>20000</v>
      </c>
      <c r="W38" s="73"/>
      <c r="X38" s="73"/>
      <c r="Y38" s="22">
        <f t="shared" si="12"/>
        <v>100000</v>
      </c>
      <c r="Z38" s="68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2"/>
      <c r="I39" s="42">
        <f>H39/D39*100</f>
        <v>0</v>
      </c>
      <c r="J39" s="72">
        <f t="shared" si="14"/>
        <v>0</v>
      </c>
      <c r="L39" s="65">
        <f t="shared" si="11"/>
        <v>-180480</v>
      </c>
      <c r="M39" s="73"/>
      <c r="N39" s="73"/>
      <c r="O39" s="73"/>
      <c r="P39" s="73"/>
      <c r="Q39" s="73"/>
      <c r="R39" s="73"/>
      <c r="S39" s="73">
        <v>22560</v>
      </c>
      <c r="T39" s="79">
        <v>157920</v>
      </c>
      <c r="U39" s="73"/>
      <c r="V39" s="73">
        <v>45120</v>
      </c>
      <c r="W39" s="73"/>
      <c r="X39" s="73"/>
      <c r="Y39" s="22">
        <f t="shared" si="12"/>
        <v>225600</v>
      </c>
      <c r="Z39" s="68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2"/>
      <c r="I40" s="42" t="e">
        <f>H40/D40*100</f>
        <v>#DIV/0!</v>
      </c>
      <c r="J40" s="72" t="e">
        <f t="shared" si="14"/>
        <v>#DIV/0!</v>
      </c>
      <c r="L40" s="65">
        <f t="shared" si="11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79">
        <f>81900-81900</f>
        <v>0</v>
      </c>
      <c r="U40" s="73"/>
      <c r="V40" s="73">
        <f>23400-23400</f>
        <v>0</v>
      </c>
      <c r="W40" s="73"/>
      <c r="X40" s="73"/>
      <c r="Y40" s="22">
        <f t="shared" si="12"/>
        <v>0</v>
      </c>
      <c r="Z40" s="68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2"/>
      <c r="I41" s="42">
        <f>H41/D41*100</f>
        <v>0</v>
      </c>
      <c r="J41" s="72">
        <f t="shared" si="14"/>
        <v>0</v>
      </c>
      <c r="L41" s="65">
        <f t="shared" si="11"/>
        <v>-160000</v>
      </c>
      <c r="M41" s="73"/>
      <c r="N41" s="73"/>
      <c r="O41" s="73"/>
      <c r="P41" s="73"/>
      <c r="Q41" s="73"/>
      <c r="R41" s="73"/>
      <c r="S41" s="73">
        <v>20000</v>
      </c>
      <c r="T41" s="79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2"/>
      <c r="I42" s="42">
        <f>H42/D42*100</f>
        <v>0</v>
      </c>
      <c r="J42" s="72">
        <f t="shared" si="14"/>
        <v>0</v>
      </c>
      <c r="L42" s="65">
        <f t="shared" si="11"/>
        <v>-80000</v>
      </c>
      <c r="M42" s="73"/>
      <c r="N42" s="73"/>
      <c r="O42" s="73"/>
      <c r="P42" s="73"/>
      <c r="Q42" s="73"/>
      <c r="R42" s="73"/>
      <c r="S42" s="73">
        <v>10000</v>
      </c>
      <c r="T42" s="79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2"/>
      <c r="I43" s="42">
        <f>H43/D43*100</f>
        <v>0</v>
      </c>
      <c r="J43" s="72">
        <f t="shared" si="14"/>
        <v>0</v>
      </c>
      <c r="L43" s="65">
        <f t="shared" si="11"/>
        <v>-80000</v>
      </c>
      <c r="M43" s="73"/>
      <c r="N43" s="73"/>
      <c r="O43" s="73"/>
      <c r="P43" s="73"/>
      <c r="Q43" s="73"/>
      <c r="R43" s="73"/>
      <c r="S43" s="73">
        <v>10000</v>
      </c>
      <c r="T43" s="79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72">
        <f t="shared" si="14"/>
        <v>12.101910828025478</v>
      </c>
      <c r="L44" s="65">
        <f t="shared" si="11"/>
        <v>-138000</v>
      </c>
      <c r="M44" s="73"/>
      <c r="N44" s="73"/>
      <c r="O44" s="73"/>
      <c r="P44" s="73"/>
      <c r="Q44" s="73"/>
      <c r="R44" s="73"/>
      <c r="S44" s="74">
        <v>5000</v>
      </c>
      <c r="T44" s="80">
        <v>35000</v>
      </c>
      <c r="U44" s="74">
        <f>117000</f>
        <v>117000</v>
      </c>
      <c r="V44" s="74">
        <v>10000</v>
      </c>
      <c r="W44" s="74"/>
      <c r="X44" s="74"/>
      <c r="Y44" s="22">
        <f t="shared" si="12"/>
        <v>167000</v>
      </c>
      <c r="Z44" s="68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2"/>
      <c r="I45" s="42">
        <f t="shared" si="10"/>
        <v>0</v>
      </c>
      <c r="J45" s="72">
        <f t="shared" si="14"/>
        <v>0</v>
      </c>
      <c r="L45" s="65">
        <f t="shared" si="11"/>
        <v>-368160</v>
      </c>
      <c r="M45" s="73"/>
      <c r="N45" s="73"/>
      <c r="O45" s="73"/>
      <c r="P45" s="73"/>
      <c r="Q45" s="73"/>
      <c r="R45" s="73"/>
      <c r="S45" s="73">
        <v>15340</v>
      </c>
      <c r="T45" s="79">
        <f>107380+245440</f>
        <v>352820</v>
      </c>
      <c r="U45" s="73"/>
      <c r="V45" s="73">
        <f>30680+61360</f>
        <v>92040</v>
      </c>
      <c r="W45" s="73"/>
      <c r="X45" s="73"/>
      <c r="Y45" s="22">
        <f t="shared" si="12"/>
        <v>460200</v>
      </c>
      <c r="Z45" s="68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2"/>
      <c r="I46" s="42" t="e">
        <f t="shared" si="10"/>
        <v>#DIV/0!</v>
      </c>
      <c r="J46" s="72" t="e">
        <f t="shared" si="14"/>
        <v>#DIV/0!</v>
      </c>
      <c r="L46" s="65">
        <f t="shared" si="11"/>
        <v>0</v>
      </c>
      <c r="M46" s="73"/>
      <c r="N46" s="73"/>
      <c r="O46" s="73"/>
      <c r="P46" s="73"/>
      <c r="Q46" s="73"/>
      <c r="R46" s="73"/>
      <c r="S46" s="73">
        <v>15340</v>
      </c>
      <c r="T46" s="79">
        <f>107380-122720</f>
        <v>-15340</v>
      </c>
      <c r="U46" s="73"/>
      <c r="V46" s="73">
        <f>30680-30680</f>
        <v>0</v>
      </c>
      <c r="W46" s="73"/>
      <c r="X46" s="73"/>
      <c r="Y46" s="22">
        <f t="shared" si="12"/>
        <v>0</v>
      </c>
      <c r="Z46" s="68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2"/>
      <c r="I47" s="42">
        <f t="shared" si="10"/>
        <v>0</v>
      </c>
      <c r="J47" s="72">
        <f t="shared" si="14"/>
        <v>0</v>
      </c>
      <c r="L47" s="65">
        <f t="shared" si="11"/>
        <v>-245440</v>
      </c>
      <c r="M47" s="73"/>
      <c r="N47" s="73"/>
      <c r="O47" s="73"/>
      <c r="P47" s="73"/>
      <c r="Q47" s="73"/>
      <c r="R47" s="73"/>
      <c r="S47" s="73">
        <v>15340</v>
      </c>
      <c r="T47" s="79">
        <f>107380+122720</f>
        <v>230100</v>
      </c>
      <c r="U47" s="73"/>
      <c r="V47" s="73">
        <f>30680+30680</f>
        <v>61360</v>
      </c>
      <c r="W47" s="73"/>
      <c r="X47" s="73"/>
      <c r="Y47" s="22">
        <f t="shared" si="12"/>
        <v>306800</v>
      </c>
      <c r="Z47" s="68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2"/>
      <c r="I48" s="42">
        <f t="shared" si="10"/>
        <v>0</v>
      </c>
      <c r="J48" s="72">
        <f t="shared" si="14"/>
        <v>0</v>
      </c>
      <c r="L48" s="65">
        <f t="shared" si="11"/>
        <v>-448000</v>
      </c>
      <c r="M48" s="73"/>
      <c r="N48" s="73"/>
      <c r="O48" s="73"/>
      <c r="P48" s="73"/>
      <c r="Q48" s="73"/>
      <c r="R48" s="73"/>
      <c r="S48" s="73">
        <v>56000</v>
      </c>
      <c r="T48" s="79">
        <v>392000</v>
      </c>
      <c r="U48" s="73"/>
      <c r="V48" s="73">
        <v>112000</v>
      </c>
      <c r="W48" s="73"/>
      <c r="X48" s="73"/>
      <c r="Y48" s="22">
        <f t="shared" si="12"/>
        <v>560000</v>
      </c>
      <c r="Z48" s="68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72">
        <f t="shared" si="14"/>
        <v>83.50639306736429</v>
      </c>
      <c r="L49" s="65">
        <f t="shared" si="11"/>
        <v>-201749.80000000005</v>
      </c>
      <c r="M49" s="73"/>
      <c r="N49" s="73"/>
      <c r="O49" s="73"/>
      <c r="P49" s="73"/>
      <c r="Q49" s="73"/>
      <c r="R49" s="73"/>
      <c r="S49" s="73">
        <v>153400</v>
      </c>
      <c r="T49" s="79">
        <f>1073800-4000</f>
        <v>1069800</v>
      </c>
      <c r="U49" s="73"/>
      <c r="V49" s="73">
        <f>306800+4000</f>
        <v>310800</v>
      </c>
      <c r="W49" s="73"/>
      <c r="X49" s="73"/>
      <c r="Y49" s="22">
        <f t="shared" si="12"/>
        <v>1534000</v>
      </c>
      <c r="Z49" s="68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2"/>
      <c r="I50" s="42">
        <f t="shared" si="10"/>
        <v>0</v>
      </c>
      <c r="J50" s="72">
        <f t="shared" si="14"/>
        <v>0</v>
      </c>
      <c r="L50" s="65">
        <f t="shared" si="11"/>
        <v>-80000</v>
      </c>
      <c r="M50" s="73"/>
      <c r="N50" s="73"/>
      <c r="O50" s="73"/>
      <c r="P50" s="73"/>
      <c r="Q50" s="73"/>
      <c r="R50" s="73"/>
      <c r="S50" s="73">
        <v>10000</v>
      </c>
      <c r="T50" s="79">
        <v>70000</v>
      </c>
      <c r="U50" s="73"/>
      <c r="V50" s="73">
        <v>20000</v>
      </c>
      <c r="W50" s="73"/>
      <c r="X50" s="73"/>
      <c r="Y50" s="22">
        <f t="shared" si="12"/>
        <v>100000</v>
      </c>
      <c r="Z50" s="68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2"/>
      <c r="I51" s="42">
        <f t="shared" si="10"/>
        <v>0</v>
      </c>
      <c r="J51" s="72">
        <f t="shared" si="14"/>
        <v>0</v>
      </c>
      <c r="L51" s="65">
        <f t="shared" si="11"/>
        <v>-180560</v>
      </c>
      <c r="M51" s="73"/>
      <c r="N51" s="73"/>
      <c r="O51" s="73"/>
      <c r="P51" s="73"/>
      <c r="Q51" s="73"/>
      <c r="R51" s="73"/>
      <c r="S51" s="73">
        <v>22570</v>
      </c>
      <c r="T51" s="79">
        <v>157990</v>
      </c>
      <c r="U51" s="73"/>
      <c r="V51" s="73">
        <v>45140</v>
      </c>
      <c r="W51" s="73"/>
      <c r="X51" s="73"/>
      <c r="Y51" s="22">
        <f t="shared" si="12"/>
        <v>225700</v>
      </c>
      <c r="Z51" s="68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2"/>
      <c r="I52" s="42" t="e">
        <f t="shared" si="10"/>
        <v>#DIV/0!</v>
      </c>
      <c r="J52" s="72" t="e">
        <f t="shared" si="14"/>
        <v>#DIV/0!</v>
      </c>
      <c r="L52" s="65">
        <f t="shared" si="11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79">
        <f>35000-35000</f>
        <v>0</v>
      </c>
      <c r="U52" s="73"/>
      <c r="V52" s="73">
        <f>10000-10000</f>
        <v>0</v>
      </c>
      <c r="W52" s="73"/>
      <c r="X52" s="73"/>
      <c r="Y52" s="22">
        <f t="shared" si="12"/>
        <v>0</v>
      </c>
      <c r="Z52" s="68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2"/>
      <c r="I53" s="42">
        <f t="shared" si="10"/>
        <v>0</v>
      </c>
      <c r="J53" s="72">
        <f t="shared" si="14"/>
        <v>0</v>
      </c>
      <c r="L53" s="65">
        <f t="shared" si="11"/>
        <v>-160000</v>
      </c>
      <c r="M53" s="73"/>
      <c r="N53" s="73"/>
      <c r="O53" s="73"/>
      <c r="P53" s="73"/>
      <c r="Q53" s="73"/>
      <c r="R53" s="73"/>
      <c r="S53" s="73">
        <v>20000</v>
      </c>
      <c r="T53" s="79">
        <v>140000</v>
      </c>
      <c r="U53" s="73"/>
      <c r="V53" s="73">
        <v>40000</v>
      </c>
      <c r="W53" s="73"/>
      <c r="X53" s="73"/>
      <c r="Y53" s="22">
        <f t="shared" si="12"/>
        <v>200000</v>
      </c>
      <c r="Z53" s="68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2"/>
      <c r="I54" s="42">
        <f t="shared" si="10"/>
        <v>0</v>
      </c>
      <c r="J54" s="72">
        <f t="shared" si="14"/>
        <v>0</v>
      </c>
      <c r="L54" s="65">
        <f t="shared" si="11"/>
        <v>-280000</v>
      </c>
      <c r="M54" s="73"/>
      <c r="N54" s="73"/>
      <c r="O54" s="73"/>
      <c r="P54" s="73"/>
      <c r="Q54" s="73"/>
      <c r="R54" s="73"/>
      <c r="S54" s="73">
        <v>35000</v>
      </c>
      <c r="T54" s="79">
        <v>245000</v>
      </c>
      <c r="U54" s="73"/>
      <c r="V54" s="73">
        <v>70000</v>
      </c>
      <c r="W54" s="73"/>
      <c r="X54" s="73"/>
      <c r="Y54" s="22">
        <f t="shared" si="12"/>
        <v>350000</v>
      </c>
      <c r="Z54" s="68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72">
        <f t="shared" si="14"/>
        <v>17.5</v>
      </c>
      <c r="L55" s="65">
        <f t="shared" si="11"/>
        <v>-66000</v>
      </c>
      <c r="M55" s="73"/>
      <c r="N55" s="73"/>
      <c r="O55" s="73"/>
      <c r="P55" s="73"/>
      <c r="Q55" s="73"/>
      <c r="R55" s="73"/>
      <c r="S55" s="73">
        <v>10000</v>
      </c>
      <c r="T55" s="79">
        <v>70000</v>
      </c>
      <c r="U55" s="73"/>
      <c r="V55" s="73">
        <v>20000</v>
      </c>
      <c r="W55" s="73"/>
      <c r="X55" s="73"/>
      <c r="Y55" s="22">
        <f t="shared" si="12"/>
        <v>100000</v>
      </c>
      <c r="Z55" s="68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2"/>
      <c r="I56" s="42" t="e">
        <f t="shared" si="10"/>
        <v>#DIV/0!</v>
      </c>
      <c r="J56" s="72" t="e">
        <f t="shared" si="14"/>
        <v>#DIV/0!</v>
      </c>
      <c r="L56" s="65">
        <f t="shared" si="11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79">
        <f>70000-70000</f>
        <v>0</v>
      </c>
      <c r="U56" s="73"/>
      <c r="V56" s="73">
        <f>20000-20000</f>
        <v>0</v>
      </c>
      <c r="W56" s="73"/>
      <c r="X56" s="73"/>
      <c r="Y56" s="22">
        <f t="shared" si="12"/>
        <v>0</v>
      </c>
      <c r="Z56" s="68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2"/>
      <c r="I57" s="42">
        <f t="shared" si="10"/>
        <v>0</v>
      </c>
      <c r="J57" s="72">
        <f t="shared" si="14"/>
        <v>0</v>
      </c>
      <c r="L57" s="65">
        <f t="shared" si="11"/>
        <v>-160000</v>
      </c>
      <c r="M57" s="73"/>
      <c r="N57" s="73"/>
      <c r="O57" s="73"/>
      <c r="P57" s="73"/>
      <c r="Q57" s="73"/>
      <c r="R57" s="73"/>
      <c r="S57" s="73">
        <v>20000</v>
      </c>
      <c r="T57" s="79">
        <v>140000</v>
      </c>
      <c r="U57" s="73"/>
      <c r="V57" s="73">
        <v>40000</v>
      </c>
      <c r="W57" s="73"/>
      <c r="X57" s="73"/>
      <c r="Y57" s="22">
        <f t="shared" si="12"/>
        <v>200000</v>
      </c>
      <c r="Z57" s="68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2"/>
      <c r="I58" s="42" t="e">
        <f t="shared" si="10"/>
        <v>#DIV/0!</v>
      </c>
      <c r="J58" s="72" t="e">
        <f t="shared" si="14"/>
        <v>#DIV/0!</v>
      </c>
      <c r="L58" s="65">
        <f t="shared" si="11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79">
        <f>70000-70000</f>
        <v>0</v>
      </c>
      <c r="U58" s="73"/>
      <c r="V58" s="73">
        <f>20000-20000</f>
        <v>0</v>
      </c>
      <c r="W58" s="73"/>
      <c r="X58" s="73"/>
      <c r="Y58" s="22">
        <f t="shared" si="12"/>
        <v>0</v>
      </c>
      <c r="Z58" s="68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2"/>
      <c r="I59" s="42">
        <f t="shared" si="10"/>
        <v>0</v>
      </c>
      <c r="J59" s="72">
        <f t="shared" si="14"/>
        <v>0</v>
      </c>
      <c r="L59" s="65">
        <f t="shared" si="11"/>
        <v>-180000</v>
      </c>
      <c r="M59" s="73"/>
      <c r="N59" s="73"/>
      <c r="O59" s="73"/>
      <c r="P59" s="73"/>
      <c r="Q59" s="73"/>
      <c r="R59" s="73"/>
      <c r="S59" s="73">
        <v>10000</v>
      </c>
      <c r="T59" s="79">
        <f>70000+100000</f>
        <v>170000</v>
      </c>
      <c r="U59" s="73"/>
      <c r="V59" s="73">
        <v>20000</v>
      </c>
      <c r="W59" s="73"/>
      <c r="X59" s="73"/>
      <c r="Y59" s="22">
        <f t="shared" si="12"/>
        <v>200000</v>
      </c>
      <c r="Z59" s="68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2"/>
      <c r="I60" s="42">
        <f t="shared" si="10"/>
        <v>0</v>
      </c>
      <c r="J60" s="72">
        <f t="shared" si="14"/>
        <v>0</v>
      </c>
      <c r="L60" s="65">
        <f t="shared" si="11"/>
        <v>-52800</v>
      </c>
      <c r="M60" s="73"/>
      <c r="N60" s="73"/>
      <c r="O60" s="73"/>
      <c r="P60" s="73">
        <f>6600</f>
        <v>6600</v>
      </c>
      <c r="Q60" s="73"/>
      <c r="R60" s="73"/>
      <c r="S60" s="73"/>
      <c r="T60" s="79"/>
      <c r="U60" s="73">
        <f>46200</f>
        <v>46200</v>
      </c>
      <c r="V60" s="73"/>
      <c r="W60" s="73">
        <f>13200</f>
        <v>13200</v>
      </c>
      <c r="X60" s="73"/>
      <c r="Y60" s="22">
        <f t="shared" si="12"/>
        <v>66000</v>
      </c>
      <c r="Z60" s="68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2"/>
      <c r="I61" s="42" t="e">
        <f t="shared" si="10"/>
        <v>#DIV/0!</v>
      </c>
      <c r="J61" s="72" t="e">
        <f t="shared" si="14"/>
        <v>#DIV/0!</v>
      </c>
      <c r="L61" s="65">
        <f t="shared" si="11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79">
        <f>70000-70000</f>
        <v>0</v>
      </c>
      <c r="U61" s="73"/>
      <c r="V61" s="73">
        <f>20000-20000</f>
        <v>0</v>
      </c>
      <c r="W61" s="73"/>
      <c r="X61" s="73"/>
      <c r="Y61" s="22">
        <f t="shared" si="12"/>
        <v>0</v>
      </c>
      <c r="Z61" s="68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2"/>
      <c r="I62" s="42">
        <f t="shared" si="10"/>
        <v>0</v>
      </c>
      <c r="J62" s="72">
        <f t="shared" si="14"/>
        <v>0</v>
      </c>
      <c r="L62" s="65">
        <f t="shared" si="11"/>
        <v>-32000</v>
      </c>
      <c r="M62" s="73"/>
      <c r="N62" s="73"/>
      <c r="O62" s="73"/>
      <c r="P62" s="73"/>
      <c r="Q62" s="73"/>
      <c r="R62" s="73"/>
      <c r="S62" s="73">
        <v>46000</v>
      </c>
      <c r="T62" s="79">
        <v>322000</v>
      </c>
      <c r="U62" s="73">
        <f>-336000</f>
        <v>-336000</v>
      </c>
      <c r="V62" s="73">
        <f>92000+153000</f>
        <v>245000</v>
      </c>
      <c r="W62" s="73"/>
      <c r="X62" s="73">
        <f>183000</f>
        <v>183000</v>
      </c>
      <c r="Y62" s="22">
        <f t="shared" si="12"/>
        <v>460000</v>
      </c>
      <c r="Z62" s="68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2"/>
      <c r="I63" s="42">
        <f t="shared" si="10"/>
        <v>0</v>
      </c>
      <c r="J63" s="72">
        <f t="shared" si="14"/>
        <v>0</v>
      </c>
      <c r="L63" s="65">
        <f t="shared" si="11"/>
        <v>-150000</v>
      </c>
      <c r="M63" s="73"/>
      <c r="N63" s="73"/>
      <c r="O63" s="73"/>
      <c r="P63" s="73"/>
      <c r="Q63" s="73"/>
      <c r="R63" s="73"/>
      <c r="S63" s="73">
        <v>150000</v>
      </c>
      <c r="T63" s="79"/>
      <c r="U63" s="73"/>
      <c r="V63" s="73"/>
      <c r="W63" s="73"/>
      <c r="X63" s="73"/>
      <c r="Y63" s="22">
        <f t="shared" si="12"/>
        <v>150000</v>
      </c>
      <c r="Z63" s="68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2"/>
      <c r="I64" s="42">
        <f t="shared" si="10"/>
        <v>0</v>
      </c>
      <c r="J64" s="72">
        <f t="shared" si="14"/>
        <v>0</v>
      </c>
      <c r="L64" s="65">
        <f t="shared" si="11"/>
        <v>-150000</v>
      </c>
      <c r="M64" s="73"/>
      <c r="N64" s="73"/>
      <c r="O64" s="73"/>
      <c r="P64" s="73"/>
      <c r="Q64" s="73"/>
      <c r="R64" s="73"/>
      <c r="S64" s="73">
        <v>150000</v>
      </c>
      <c r="T64" s="79"/>
      <c r="U64" s="73"/>
      <c r="V64" s="73"/>
      <c r="W64" s="73"/>
      <c r="X64" s="73"/>
      <c r="Y64" s="22">
        <f t="shared" si="12"/>
        <v>150000</v>
      </c>
      <c r="Z64" s="68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2"/>
      <c r="I65" s="42" t="e">
        <f t="shared" si="10"/>
        <v>#DIV/0!</v>
      </c>
      <c r="J65" s="72" t="e">
        <f t="shared" si="14"/>
        <v>#DIV/0!</v>
      </c>
      <c r="L65" s="65">
        <f t="shared" si="11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79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2"/>
        <v>0</v>
      </c>
      <c r="Z65" s="68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2"/>
      <c r="I66" s="42">
        <f t="shared" si="10"/>
        <v>0</v>
      </c>
      <c r="J66" s="72">
        <f t="shared" si="14"/>
        <v>0</v>
      </c>
      <c r="L66" s="65">
        <f t="shared" si="11"/>
        <v>-54000</v>
      </c>
      <c r="M66" s="73"/>
      <c r="N66" s="73"/>
      <c r="O66" s="73"/>
      <c r="P66" s="73"/>
      <c r="Q66" s="73"/>
      <c r="R66" s="73"/>
      <c r="S66" s="73"/>
      <c r="T66" s="79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2"/>
        <v>90000</v>
      </c>
      <c r="Z66" s="68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2"/>
      <c r="I67" s="42"/>
      <c r="J67" s="72">
        <f t="shared" si="14"/>
        <v>0</v>
      </c>
      <c r="L67" s="65">
        <f t="shared" si="11"/>
        <v>-30000</v>
      </c>
      <c r="M67" s="73"/>
      <c r="N67" s="73"/>
      <c r="O67" s="73"/>
      <c r="P67" s="73"/>
      <c r="Q67" s="73"/>
      <c r="R67" s="73"/>
      <c r="S67" s="73"/>
      <c r="T67" s="79">
        <f>30000</f>
        <v>30000</v>
      </c>
      <c r="U67" s="73"/>
      <c r="V67" s="73">
        <f>249054.66+14945.34</f>
        <v>264000</v>
      </c>
      <c r="W67" s="73">
        <f>14945.34-14945.13</f>
        <v>0.21000000000094587</v>
      </c>
      <c r="X67" s="73"/>
      <c r="Y67" s="22">
        <f t="shared" si="12"/>
        <v>294000.21</v>
      </c>
      <c r="Z67" s="68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72">
        <f t="shared" si="14"/>
        <v>4.743833017077799</v>
      </c>
      <c r="L68" s="65">
        <f t="shared" si="11"/>
        <v>-502000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79">
        <f>40471.53</f>
        <v>40471.53</v>
      </c>
      <c r="U68" s="73">
        <f>254528.47</f>
        <v>254528.47</v>
      </c>
      <c r="V68" s="73">
        <f>254528.47-254528.47</f>
        <v>0</v>
      </c>
      <c r="W68" s="73"/>
      <c r="X68" s="73">
        <f>232000-232000</f>
        <v>0</v>
      </c>
      <c r="Y68" s="22">
        <f t="shared" si="12"/>
        <v>527000</v>
      </c>
      <c r="Z68" s="68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2"/>
      <c r="I69" s="42">
        <f t="shared" si="10"/>
        <v>0</v>
      </c>
      <c r="J69" s="72">
        <f t="shared" si="14"/>
        <v>0</v>
      </c>
      <c r="L69" s="65">
        <f t="shared" si="11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79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2"/>
        <v>220000</v>
      </c>
      <c r="Z69" s="68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2"/>
      <c r="I70" s="42">
        <f t="shared" si="10"/>
        <v>0</v>
      </c>
      <c r="J70" s="72">
        <f t="shared" si="14"/>
        <v>0</v>
      </c>
      <c r="L70" s="65">
        <f t="shared" si="11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79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2"/>
        <v>127000</v>
      </c>
      <c r="Z70" s="68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2"/>
      <c r="I71" s="42">
        <f t="shared" si="10"/>
        <v>0</v>
      </c>
      <c r="J71" s="72">
        <f t="shared" si="14"/>
        <v>0</v>
      </c>
      <c r="L71" s="65">
        <f t="shared" si="11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79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2"/>
        <v>240000</v>
      </c>
      <c r="Z71" s="68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72">
        <f t="shared" si="14"/>
        <v>99.88697238095237</v>
      </c>
      <c r="L72" s="65">
        <f t="shared" si="11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79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2"/>
        <v>1650000</v>
      </c>
      <c r="Z72" s="68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72">
        <f t="shared" si="14"/>
        <v>99.83742509363296</v>
      </c>
      <c r="L73" s="65">
        <f t="shared" si="11"/>
        <v>-868.1500000000233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79"/>
      <c r="U73" s="73">
        <f>54000</f>
        <v>54000</v>
      </c>
      <c r="V73" s="73">
        <f>336000-336000+291000-54000</f>
        <v>237000</v>
      </c>
      <c r="W73" s="73"/>
      <c r="X73" s="73">
        <f>96000-96000</f>
        <v>0</v>
      </c>
      <c r="Y73" s="22">
        <f t="shared" si="12"/>
        <v>771000</v>
      </c>
      <c r="Z73" s="68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72">
        <f t="shared" si="14"/>
        <v>100</v>
      </c>
      <c r="L74" s="65">
        <f t="shared" si="11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79"/>
      <c r="U74" s="73">
        <f>53000</f>
        <v>53000</v>
      </c>
      <c r="V74" s="73">
        <f>81200-53000</f>
        <v>28200</v>
      </c>
      <c r="W74" s="73">
        <f>11600</f>
        <v>11600</v>
      </c>
      <c r="X74" s="73">
        <v>23200</v>
      </c>
      <c r="Y74" s="22">
        <f t="shared" si="12"/>
        <v>116000</v>
      </c>
      <c r="Z74" s="68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2"/>
      <c r="I75" s="42">
        <f t="shared" si="10"/>
        <v>0</v>
      </c>
      <c r="J75" s="72">
        <f t="shared" si="14"/>
        <v>0</v>
      </c>
      <c r="L75" s="65">
        <f t="shared" si="11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79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2"/>
        <v>116000</v>
      </c>
      <c r="Z75" s="68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2"/>
      <c r="I76" s="42">
        <f t="shared" si="10"/>
        <v>0</v>
      </c>
      <c r="J76" s="72" t="e">
        <f t="shared" si="14"/>
        <v>#DIV/0!</v>
      </c>
      <c r="L76" s="65">
        <f t="shared" si="11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79"/>
      <c r="U76" s="73"/>
      <c r="V76" s="73">
        <v>35000</v>
      </c>
      <c r="W76" s="73">
        <f>5000</f>
        <v>5000</v>
      </c>
      <c r="X76" s="73">
        <v>10000</v>
      </c>
      <c r="Y76" s="22">
        <f t="shared" si="12"/>
        <v>50000</v>
      </c>
      <c r="Z76" s="68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2"/>
      <c r="I77" s="42" t="e">
        <f t="shared" si="10"/>
        <v>#DIV/0!</v>
      </c>
      <c r="J77" s="72" t="e">
        <f t="shared" si="14"/>
        <v>#DIV/0!</v>
      </c>
      <c r="L77" s="65">
        <f t="shared" si="11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79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2"/>
        <v>0</v>
      </c>
      <c r="Z77" s="68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2"/>
      <c r="I78" s="42">
        <f t="shared" si="10"/>
        <v>0</v>
      </c>
      <c r="J78" s="72" t="e">
        <f t="shared" si="14"/>
        <v>#DIV/0!</v>
      </c>
      <c r="L78" s="65">
        <f t="shared" si="11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79"/>
      <c r="U78" s="73"/>
      <c r="V78" s="73">
        <v>184100</v>
      </c>
      <c r="W78" s="73">
        <f>26300</f>
        <v>26300</v>
      </c>
      <c r="X78" s="73">
        <v>52600</v>
      </c>
      <c r="Y78" s="22">
        <f t="shared" si="12"/>
        <v>263000</v>
      </c>
      <c r="Z78" s="68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2"/>
      <c r="I79" s="42">
        <f t="shared" si="10"/>
        <v>0</v>
      </c>
      <c r="J79" s="72" t="e">
        <f t="shared" si="14"/>
        <v>#DIV/0!</v>
      </c>
      <c r="L79" s="65">
        <f t="shared" si="11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79"/>
      <c r="U79" s="73"/>
      <c r="V79" s="73">
        <v>82600</v>
      </c>
      <c r="W79" s="73">
        <f>11800</f>
        <v>11800</v>
      </c>
      <c r="X79" s="73">
        <v>23600</v>
      </c>
      <c r="Y79" s="22">
        <f t="shared" si="12"/>
        <v>118000</v>
      </c>
      <c r="Z79" s="68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2"/>
      <c r="I80" s="42">
        <f t="shared" si="10"/>
        <v>0</v>
      </c>
      <c r="J80" s="72">
        <f t="shared" si="14"/>
        <v>0</v>
      </c>
      <c r="L80" s="65">
        <f t="shared" si="11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79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2"/>
        <v>232000</v>
      </c>
      <c r="Z80" s="68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72">
        <f t="shared" si="14"/>
        <v>9.884564285714285</v>
      </c>
      <c r="L81" s="65">
        <f t="shared" si="11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79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2"/>
        <v>140000</v>
      </c>
      <c r="Z81" s="68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2"/>
      <c r="I82" s="42">
        <f t="shared" si="10"/>
        <v>0</v>
      </c>
      <c r="J82" s="72" t="e">
        <f t="shared" si="14"/>
        <v>#DIV/0!</v>
      </c>
      <c r="L82" s="65">
        <f t="shared" si="11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79"/>
      <c r="U82" s="73"/>
      <c r="V82" s="73">
        <v>157500</v>
      </c>
      <c r="W82" s="73">
        <f>35000</f>
        <v>35000</v>
      </c>
      <c r="X82" s="73">
        <v>157500</v>
      </c>
      <c r="Y82" s="22">
        <f t="shared" si="12"/>
        <v>350000</v>
      </c>
      <c r="Z82" s="68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2"/>
      <c r="I83" s="42" t="e">
        <f t="shared" si="10"/>
        <v>#DIV/0!</v>
      </c>
      <c r="J83" s="72" t="e">
        <f t="shared" si="14"/>
        <v>#DIV/0!</v>
      </c>
      <c r="L83" s="65">
        <f t="shared" si="11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79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2"/>
        <v>0</v>
      </c>
      <c r="Z83" s="68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72">
        <f t="shared" si="14"/>
        <v>11.406844106463879</v>
      </c>
      <c r="L84" s="65">
        <f t="shared" si="11"/>
        <v>-233000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79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2"/>
        <v>263000</v>
      </c>
      <c r="Z84" s="68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72">
        <f t="shared" si="14"/>
        <v>100</v>
      </c>
      <c r="L85" s="65">
        <f t="shared" si="11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79"/>
      <c r="U85" s="73">
        <f>23000</f>
        <v>23000</v>
      </c>
      <c r="V85" s="73">
        <f>93100-23000</f>
        <v>70100</v>
      </c>
      <c r="W85" s="73">
        <f>13300</f>
        <v>13300</v>
      </c>
      <c r="X85" s="73">
        <v>26600</v>
      </c>
      <c r="Y85" s="22">
        <f t="shared" si="12"/>
        <v>133000</v>
      </c>
      <c r="Z85" s="68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72">
        <f t="shared" si="14"/>
        <v>100</v>
      </c>
      <c r="L86" s="65">
        <f t="shared" si="11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79"/>
      <c r="U86" s="73">
        <f>23000</f>
        <v>23000</v>
      </c>
      <c r="V86" s="73">
        <f>81200-23000</f>
        <v>58200</v>
      </c>
      <c r="W86" s="73">
        <f>11600</f>
        <v>11600</v>
      </c>
      <c r="X86" s="73">
        <v>23200</v>
      </c>
      <c r="Y86" s="22">
        <f t="shared" si="12"/>
        <v>116000</v>
      </c>
      <c r="Z86" s="68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2">
        <f t="shared" si="14"/>
        <v>37.76971749804544</v>
      </c>
      <c r="L87" s="65">
        <f t="shared" si="11"/>
        <v>-520590.48999999993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7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2"/>
        <v>1150000</v>
      </c>
      <c r="Z87" s="68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4"/>
        <v>#DIV/0!</v>
      </c>
      <c r="L88" s="65">
        <f t="shared" si="11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79"/>
      <c r="U88" s="73"/>
      <c r="V88" s="73"/>
      <c r="W88" s="73"/>
      <c r="X88" s="73"/>
      <c r="Y88" s="22">
        <f t="shared" si="12"/>
        <v>0</v>
      </c>
      <c r="Z88" s="68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2"/>
      <c r="I89" s="42">
        <f t="shared" si="10"/>
        <v>0</v>
      </c>
      <c r="J89" s="72" t="e">
        <f t="shared" si="14"/>
        <v>#DIV/0!</v>
      </c>
      <c r="L89" s="65">
        <f t="shared" si="11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79"/>
      <c r="U89" s="73"/>
      <c r="V89" s="73">
        <v>126000</v>
      </c>
      <c r="W89" s="73">
        <v>18000</v>
      </c>
      <c r="X89" s="73">
        <v>36000</v>
      </c>
      <c r="Y89" s="22">
        <f t="shared" si="12"/>
        <v>180000</v>
      </c>
      <c r="Z89" s="68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2"/>
      <c r="I90" s="42">
        <f t="shared" si="10"/>
        <v>0</v>
      </c>
      <c r="J90" s="72" t="e">
        <f t="shared" si="14"/>
        <v>#DIV/0!</v>
      </c>
      <c r="L90" s="65">
        <f t="shared" si="11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79"/>
      <c r="U90" s="73"/>
      <c r="V90" s="73">
        <v>74200</v>
      </c>
      <c r="W90" s="73">
        <v>10600</v>
      </c>
      <c r="X90" s="73">
        <v>21200</v>
      </c>
      <c r="Y90" s="22">
        <f t="shared" si="12"/>
        <v>106000</v>
      </c>
      <c r="Z90" s="68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4"/>
        <v>0</v>
      </c>
      <c r="L91" s="65">
        <f aca="true" t="shared" si="15" ref="L91:L144">H91-(M91+N91+O91+P91+Q91+R91+S91+T91+U91)</f>
        <v>-350000</v>
      </c>
      <c r="M91" s="73"/>
      <c r="N91" s="73"/>
      <c r="O91" s="73"/>
      <c r="P91" s="73"/>
      <c r="Q91" s="73"/>
      <c r="R91" s="73">
        <v>350000</v>
      </c>
      <c r="S91" s="73"/>
      <c r="T91" s="79"/>
      <c r="U91" s="73">
        <f>750000-750000</f>
        <v>0</v>
      </c>
      <c r="V91" s="73"/>
      <c r="W91" s="73"/>
      <c r="X91" s="73">
        <f>350000</f>
        <v>350000</v>
      </c>
      <c r="Y91" s="22">
        <f t="shared" si="12"/>
        <v>700000</v>
      </c>
      <c r="Z91" s="68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2"/>
      <c r="I92" s="42">
        <f aca="true" t="shared" si="17" ref="I92:I145">H92/D92*100</f>
        <v>0</v>
      </c>
      <c r="J92" s="72">
        <f t="shared" si="14"/>
        <v>0</v>
      </c>
      <c r="L92" s="65">
        <f t="shared" si="15"/>
        <v>-197200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79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2"/>
        <v>232000</v>
      </c>
      <c r="Z92" s="68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2"/>
      <c r="I93" s="42">
        <f t="shared" si="17"/>
        <v>0</v>
      </c>
      <c r="J93" s="72">
        <f t="shared" si="14"/>
        <v>0</v>
      </c>
      <c r="L93" s="65">
        <f t="shared" si="15"/>
        <v>-206766.53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79">
        <f>271350-271350+360000</f>
        <v>360000</v>
      </c>
      <c r="U93" s="73">
        <f>-254528.47</f>
        <v>-254528.47</v>
      </c>
      <c r="V93" s="73">
        <f>254528.47</f>
        <v>254528.47</v>
      </c>
      <c r="W93" s="73">
        <f>271350-271350</f>
        <v>0</v>
      </c>
      <c r="X93" s="73">
        <f>141705</f>
        <v>141705</v>
      </c>
      <c r="Y93" s="22">
        <f aca="true" t="shared" si="18" ref="Y93:Y145">SUM(M93:X93)</f>
        <v>603000</v>
      </c>
      <c r="Z93" s="68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2"/>
      <c r="I94" s="42">
        <f t="shared" si="17"/>
        <v>0</v>
      </c>
      <c r="J94" s="72">
        <f t="shared" si="14"/>
        <v>0</v>
      </c>
      <c r="L94" s="65">
        <f t="shared" si="15"/>
        <v>-237915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79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8"/>
        <v>311000</v>
      </c>
      <c r="Z94" s="68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72">
        <f t="shared" si="14"/>
        <v>0</v>
      </c>
      <c r="L95" s="65">
        <f t="shared" si="15"/>
        <v>-450000</v>
      </c>
      <c r="M95" s="73"/>
      <c r="N95" s="75">
        <v>450000</v>
      </c>
      <c r="O95" s="73"/>
      <c r="P95" s="73"/>
      <c r="Q95" s="73"/>
      <c r="R95" s="73"/>
      <c r="S95" s="73"/>
      <c r="T95" s="79"/>
      <c r="U95" s="73"/>
      <c r="V95" s="73"/>
      <c r="W95" s="73"/>
      <c r="X95" s="73"/>
      <c r="Y95" s="22">
        <f t="shared" si="18"/>
        <v>450000</v>
      </c>
      <c r="Z95" s="68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72">
        <f aca="true" t="shared" si="19" ref="J96:J145">H96/(N96+O96+P96+Q96+R96+S96+T96+U96)*100</f>
        <v>9.583333333333334</v>
      </c>
      <c r="L96" s="65">
        <f t="shared" si="15"/>
        <v>-217000</v>
      </c>
      <c r="M96" s="73"/>
      <c r="N96" s="75">
        <v>240000</v>
      </c>
      <c r="O96" s="73"/>
      <c r="P96" s="73"/>
      <c r="Q96" s="73"/>
      <c r="R96" s="73"/>
      <c r="S96" s="73"/>
      <c r="T96" s="79"/>
      <c r="U96" s="73"/>
      <c r="V96" s="73"/>
      <c r="W96" s="73"/>
      <c r="X96" s="73"/>
      <c r="Y96" s="22">
        <f t="shared" si="18"/>
        <v>240000</v>
      </c>
      <c r="Z96" s="68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9"/>
        <v>#DIV/0!</v>
      </c>
      <c r="L97" s="65">
        <f t="shared" si="15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79"/>
      <c r="U97" s="73">
        <f>35000-35000</f>
        <v>0</v>
      </c>
      <c r="V97" s="73"/>
      <c r="W97" s="73">
        <f>10000-10000</f>
        <v>0</v>
      </c>
      <c r="X97" s="73"/>
      <c r="Y97" s="22">
        <f t="shared" si="18"/>
        <v>0</v>
      </c>
      <c r="Z97" s="68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72" t="e">
        <f t="shared" si="19"/>
        <v>#DIV/0!</v>
      </c>
      <c r="L98" s="65">
        <f t="shared" si="15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79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8"/>
        <v>580000</v>
      </c>
      <c r="Z98" s="68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72" t="e">
        <f t="shared" si="19"/>
        <v>#DIV/0!</v>
      </c>
      <c r="L99" s="65">
        <f t="shared" si="15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79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8"/>
        <v>0</v>
      </c>
      <c r="Z99" s="68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72">
        <f t="shared" si="19"/>
        <v>0</v>
      </c>
      <c r="L100" s="65">
        <f t="shared" si="15"/>
        <v>-93100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79"/>
      <c r="U100" s="73">
        <v>93100</v>
      </c>
      <c r="V100" s="73"/>
      <c r="W100" s="73">
        <v>39900</v>
      </c>
      <c r="X100" s="73"/>
      <c r="Y100" s="22">
        <f t="shared" si="18"/>
        <v>133000</v>
      </c>
      <c r="Z100" s="68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72" t="e">
        <f t="shared" si="19"/>
        <v>#DIV/0!</v>
      </c>
      <c r="L101" s="65">
        <f t="shared" si="15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79"/>
      <c r="U101" s="73">
        <f>162400-162400</f>
        <v>0</v>
      </c>
      <c r="V101" s="73"/>
      <c r="W101" s="73">
        <f>69600+75400</f>
        <v>145000</v>
      </c>
      <c r="X101" s="73">
        <f>87000</f>
        <v>87000</v>
      </c>
      <c r="Y101" s="22">
        <f t="shared" si="18"/>
        <v>232000</v>
      </c>
      <c r="Z101" s="68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72">
        <f t="shared" si="19"/>
        <v>20.408163265306122</v>
      </c>
      <c r="L102" s="65">
        <f t="shared" si="15"/>
        <v>-74100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79"/>
      <c r="U102" s="73">
        <v>93100</v>
      </c>
      <c r="V102" s="73"/>
      <c r="W102" s="73">
        <v>39900</v>
      </c>
      <c r="X102" s="73"/>
      <c r="Y102" s="22">
        <f t="shared" si="18"/>
        <v>133000</v>
      </c>
      <c r="Z102" s="68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72">
        <f t="shared" si="19"/>
        <v>99.9999983673507</v>
      </c>
      <c r="L103" s="65">
        <f t="shared" si="15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0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8"/>
        <v>615100</v>
      </c>
      <c r="Z103" s="68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72">
        <f t="shared" si="19"/>
        <v>99.60153978814587</v>
      </c>
      <c r="L104" s="65">
        <f t="shared" si="15"/>
        <v>-2154.600000000093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0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8"/>
        <v>540731.53</v>
      </c>
      <c r="Z104" s="68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72">
        <f t="shared" si="19"/>
        <v>75.63502432244614</v>
      </c>
      <c r="L105" s="65">
        <f t="shared" si="15"/>
        <v>-140244.8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0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8"/>
        <v>626000</v>
      </c>
      <c r="Z105" s="68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2"/>
      <c r="I106" s="42">
        <f>H106/D106*100</f>
        <v>0</v>
      </c>
      <c r="J106" s="72">
        <f t="shared" si="19"/>
        <v>0</v>
      </c>
      <c r="L106" s="65">
        <f t="shared" si="15"/>
        <v>-80000</v>
      </c>
      <c r="M106" s="73"/>
      <c r="N106" s="73"/>
      <c r="O106" s="73"/>
      <c r="P106" s="73"/>
      <c r="Q106" s="73"/>
      <c r="R106" s="73"/>
      <c r="S106" s="73">
        <v>10000</v>
      </c>
      <c r="T106" s="79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72" t="e">
        <f t="shared" si="19"/>
        <v>#DIV/0!</v>
      </c>
      <c r="L107" s="65">
        <f t="shared" si="15"/>
        <v>0</v>
      </c>
      <c r="M107" s="73"/>
      <c r="N107" s="75">
        <v>134745</v>
      </c>
      <c r="O107" s="73"/>
      <c r="P107" s="73"/>
      <c r="Q107" s="73"/>
      <c r="R107" s="73"/>
      <c r="S107" s="73"/>
      <c r="T107" s="79">
        <f>-134745</f>
        <v>-134745</v>
      </c>
      <c r="U107" s="73"/>
      <c r="V107" s="73"/>
      <c r="W107" s="73"/>
      <c r="X107" s="73"/>
      <c r="Y107" s="22">
        <f t="shared" si="18"/>
        <v>0</v>
      </c>
      <c r="Z107" s="68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72">
        <f t="shared" si="19"/>
        <v>67.5113624034045</v>
      </c>
      <c r="L108" s="65">
        <f t="shared" si="15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79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8"/>
        <v>2650745</v>
      </c>
      <c r="Z108" s="68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72">
        <f t="shared" si="19"/>
        <v>94.10853982300884</v>
      </c>
      <c r="L109" s="65">
        <f t="shared" si="15"/>
        <v>-11983.23000000001</v>
      </c>
      <c r="M109" s="73"/>
      <c r="N109" s="73"/>
      <c r="O109" s="73">
        <v>203400</v>
      </c>
      <c r="P109" s="73"/>
      <c r="Q109" s="73"/>
      <c r="R109" s="73"/>
      <c r="S109" s="73"/>
      <c r="T109" s="79"/>
      <c r="U109" s="73"/>
      <c r="V109" s="73"/>
      <c r="W109" s="73">
        <v>915300</v>
      </c>
      <c r="X109" s="73">
        <v>915300</v>
      </c>
      <c r="Y109" s="22">
        <f t="shared" si="18"/>
        <v>2034000</v>
      </c>
      <c r="Z109" s="68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</f>
        <v>3339487.82</v>
      </c>
      <c r="I110" s="41">
        <f t="shared" si="17"/>
        <v>98.1116434957428</v>
      </c>
      <c r="J110" s="72">
        <f t="shared" si="19"/>
        <v>100</v>
      </c>
      <c r="L110" s="65">
        <f t="shared" si="15"/>
        <v>0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79">
        <f>1100000-1100000</f>
        <v>0</v>
      </c>
      <c r="U110" s="73"/>
      <c r="V110" s="73"/>
      <c r="W110" s="73">
        <f>1201000-1201000</f>
        <v>0</v>
      </c>
      <c r="X110" s="73">
        <f>161512.18-97237</f>
        <v>64275.17999999999</v>
      </c>
      <c r="Y110" s="22">
        <f t="shared" si="18"/>
        <v>3403763</v>
      </c>
      <c r="Z110" s="68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72">
        <f t="shared" si="19"/>
        <v>99.65545591748457</v>
      </c>
      <c r="L111" s="65">
        <f t="shared" si="15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79"/>
      <c r="U111" s="73"/>
      <c r="V111" s="73"/>
      <c r="W111" s="73"/>
      <c r="X111" s="73"/>
      <c r="Y111" s="22">
        <f t="shared" si="18"/>
        <v>1579484.39</v>
      </c>
      <c r="Z111" s="68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72">
        <f t="shared" si="19"/>
        <v>100</v>
      </c>
      <c r="L112" s="65">
        <f t="shared" si="15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79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8"/>
        <v>367000</v>
      </c>
      <c r="Z112" s="68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72">
        <f t="shared" si="19"/>
        <v>97.89684229390681</v>
      </c>
      <c r="L113" s="65">
        <f t="shared" si="15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79"/>
      <c r="U113" s="73"/>
      <c r="V113" s="73"/>
      <c r="W113" s="73"/>
      <c r="X113" s="73"/>
      <c r="Y113" s="22">
        <f t="shared" si="18"/>
        <v>837000</v>
      </c>
      <c r="Z113" s="68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72">
        <f t="shared" si="19"/>
        <v>12.206572769953052</v>
      </c>
      <c r="L114" s="65">
        <f t="shared" si="15"/>
        <v>-187000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79"/>
      <c r="U114" s="73">
        <f>183000</f>
        <v>183000</v>
      </c>
      <c r="V114" s="73"/>
      <c r="W114" s="73"/>
      <c r="X114" s="73">
        <f>270000-183000</f>
        <v>87000</v>
      </c>
      <c r="Y114" s="22">
        <f t="shared" si="18"/>
        <v>300000</v>
      </c>
      <c r="Z114" s="68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72">
        <f t="shared" si="19"/>
        <v>0</v>
      </c>
      <c r="L115" s="65">
        <f t="shared" si="15"/>
        <v>-70000</v>
      </c>
      <c r="M115" s="73"/>
      <c r="N115" s="75">
        <v>70000</v>
      </c>
      <c r="O115" s="73"/>
      <c r="P115" s="73"/>
      <c r="Q115" s="73"/>
      <c r="R115" s="73"/>
      <c r="S115" s="73"/>
      <c r="T115" s="79"/>
      <c r="U115" s="73"/>
      <c r="V115" s="73"/>
      <c r="W115" s="73"/>
      <c r="X115" s="73"/>
      <c r="Y115" s="22">
        <f t="shared" si="18"/>
        <v>70000</v>
      </c>
      <c r="Z115" s="68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72">
        <f t="shared" si="19"/>
        <v>34.638950073047425</v>
      </c>
      <c r="L116" s="65">
        <f t="shared" si="15"/>
        <v>-128310.80000000005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79">
        <f>76700-76700</f>
        <v>0</v>
      </c>
      <c r="U116" s="73">
        <f>67081-67081</f>
        <v>0</v>
      </c>
      <c r="V116" s="73">
        <f>536900-536900</f>
        <v>0</v>
      </c>
      <c r="W116" s="73">
        <f>75166-75166</f>
        <v>0</v>
      </c>
      <c r="X116" s="73">
        <f>153400-153400+722589.2</f>
        <v>722589.2</v>
      </c>
      <c r="Y116" s="22">
        <f t="shared" si="18"/>
        <v>918900</v>
      </c>
      <c r="Z116" s="68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72">
        <f t="shared" si="19"/>
        <v>99.60202979780065</v>
      </c>
      <c r="L117" s="65">
        <f t="shared" si="15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0"/>
      <c r="U117" s="74"/>
      <c r="V117" s="74"/>
      <c r="W117" s="74">
        <f>900000-64000-836000</f>
        <v>0</v>
      </c>
      <c r="X117" s="74"/>
      <c r="Y117" s="22">
        <f t="shared" si="18"/>
        <v>1409500</v>
      </c>
      <c r="Z117" s="68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72">
        <f t="shared" si="19"/>
        <v>87.32026254552238</v>
      </c>
      <c r="L118" s="65">
        <f t="shared" si="15"/>
        <v>-780395.4899999993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79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8"/>
        <v>6345598</v>
      </c>
      <c r="Z118" s="68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72">
        <f t="shared" si="19"/>
        <v>87.01326814502383</v>
      </c>
      <c r="L119" s="65">
        <f t="shared" si="15"/>
        <v>-676148.3499999996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79"/>
      <c r="U119" s="73"/>
      <c r="V119" s="73"/>
      <c r="W119" s="73"/>
      <c r="X119" s="73"/>
      <c r="Y119" s="22">
        <f t="shared" si="18"/>
        <v>5206455</v>
      </c>
      <c r="Z119" s="68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72">
        <f t="shared" si="19"/>
        <v>89.94117647058823</v>
      </c>
      <c r="L120" s="65">
        <f t="shared" si="15"/>
        <v>-256500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0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8"/>
        <v>4678629</v>
      </c>
      <c r="Z120" s="68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2"/>
      <c r="I121" s="42">
        <f>H121/D121*100</f>
        <v>0</v>
      </c>
      <c r="J121" s="72">
        <f t="shared" si="19"/>
        <v>0</v>
      </c>
      <c r="L121" s="65">
        <f t="shared" si="15"/>
        <v>-160000</v>
      </c>
      <c r="M121" s="73"/>
      <c r="N121" s="73"/>
      <c r="O121" s="73"/>
      <c r="P121" s="73"/>
      <c r="Q121" s="73"/>
      <c r="R121" s="73"/>
      <c r="S121" s="73">
        <v>20000</v>
      </c>
      <c r="T121" s="79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72">
        <f t="shared" si="19"/>
        <v>58.40857787810384</v>
      </c>
      <c r="L122" s="65">
        <f t="shared" si="15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79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8"/>
        <v>443000</v>
      </c>
      <c r="Z122" s="68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72" t="e">
        <f t="shared" si="19"/>
        <v>#DIV/0!</v>
      </c>
      <c r="L123" s="65">
        <f t="shared" si="15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0">
        <f>1800000-1800000</f>
        <v>0</v>
      </c>
      <c r="U123" s="74"/>
      <c r="V123" s="74">
        <f>2029000+1800000-3179707.24</f>
        <v>649292.7599999998</v>
      </c>
      <c r="W123" s="74">
        <f>3165057.24</f>
        <v>3165057.24</v>
      </c>
      <c r="X123" s="74">
        <f>14650</f>
        <v>14650</v>
      </c>
      <c r="Y123" s="22">
        <f t="shared" si="18"/>
        <v>3829000</v>
      </c>
      <c r="Z123" s="68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72">
        <f t="shared" si="19"/>
        <v>96.7889434612691</v>
      </c>
      <c r="L124" s="65">
        <f t="shared" si="15"/>
        <v>-90372.20000000019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79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8"/>
        <v>3700000</v>
      </c>
      <c r="Z124" s="68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72">
        <f t="shared" si="19"/>
        <v>99.87541528239203</v>
      </c>
      <c r="L125" s="65">
        <f t="shared" si="15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0"/>
      <c r="U125" s="74">
        <f>200000-200000</f>
        <v>0</v>
      </c>
      <c r="V125" s="74"/>
      <c r="W125" s="74">
        <v>34400</v>
      </c>
      <c r="X125" s="74"/>
      <c r="Y125" s="22">
        <f t="shared" si="18"/>
        <v>516000</v>
      </c>
      <c r="Z125" s="68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72">
        <f t="shared" si="19"/>
        <v>99.33251091359297</v>
      </c>
      <c r="L126" s="65">
        <f t="shared" si="15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0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8"/>
        <v>6986700</v>
      </c>
      <c r="Z126" s="68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72" t="e">
        <f t="shared" si="19"/>
        <v>#VALUE!</v>
      </c>
      <c r="L127" s="65" t="e">
        <f t="shared" si="15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8"/>
        <v>2.9103830456733704E-11</v>
      </c>
      <c r="Z127" s="68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72">
        <f t="shared" si="19"/>
        <v>51.150098336064055</v>
      </c>
      <c r="L128" s="65">
        <f t="shared" si="15"/>
        <v>-525266.75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8"/>
        <v>1075266.75</v>
      </c>
      <c r="Z128" s="68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72">
        <f t="shared" si="19"/>
        <v>82.27228207639568</v>
      </c>
      <c r="L129" s="65">
        <f t="shared" si="15"/>
        <v>-181000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8"/>
        <v>1021000</v>
      </c>
      <c r="Z129" s="68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19"/>
        <v>0</v>
      </c>
      <c r="L130" s="65">
        <f t="shared" si="15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8"/>
        <v>100000</v>
      </c>
      <c r="Z130" s="68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72">
        <f t="shared" si="19"/>
        <v>88.79354736844557</v>
      </c>
      <c r="L131" s="65">
        <f t="shared" si="15"/>
        <v>-1347122.7400000002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</f>
        <v>401004</v>
      </c>
      <c r="V131" s="74">
        <f>28348+246000+439068-700000+41554.92</f>
        <v>54970.92</v>
      </c>
      <c r="W131" s="74">
        <f>1472356+3920000-3920000-1016660+688500+836000+331000</f>
        <v>2311196</v>
      </c>
      <c r="X131" s="74">
        <f>2423340-1790000-633340+360445.08</f>
        <v>360445.08</v>
      </c>
      <c r="Y131" s="22">
        <f t="shared" si="18"/>
        <v>14747568</v>
      </c>
      <c r="Z131" s="68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</f>
        <v>2500602.06</v>
      </c>
      <c r="I132" s="41">
        <f t="shared" si="17"/>
        <v>62.308703765739004</v>
      </c>
      <c r="J132" s="72">
        <f t="shared" si="19"/>
        <v>63.54541288656457</v>
      </c>
      <c r="L132" s="65">
        <f t="shared" si="15"/>
        <v>-1434539.67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8"/>
        <v>4013246.8</v>
      </c>
      <c r="Z132" s="68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72">
        <f t="shared" si="19"/>
        <v>0</v>
      </c>
      <c r="L133" s="65">
        <f t="shared" si="15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8"/>
        <v>33000</v>
      </c>
      <c r="Z133" s="68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72">
        <f t="shared" si="19"/>
        <v>0</v>
      </c>
      <c r="L134" s="65">
        <f t="shared" si="15"/>
        <v>-116000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8"/>
        <v>116000</v>
      </c>
      <c r="Z134" s="68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72" t="e">
        <f t="shared" si="19"/>
        <v>#DIV/0!</v>
      </c>
      <c r="L135" s="65">
        <f t="shared" si="15"/>
        <v>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f>150000-200000</f>
        <v>-50000</v>
      </c>
      <c r="V135" s="73"/>
      <c r="W135" s="73"/>
      <c r="X135" s="73">
        <f>200000</f>
        <v>200000</v>
      </c>
      <c r="Y135" s="22">
        <f t="shared" si="18"/>
        <v>200000</v>
      </c>
      <c r="Z135" s="68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7"/>
        <v>0</v>
      </c>
      <c r="J136" s="72">
        <f t="shared" si="19"/>
        <v>0</v>
      </c>
      <c r="L136" s="65">
        <f t="shared" si="15"/>
        <v>-43884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>
        <f>-402116</f>
        <v>-402116</v>
      </c>
      <c r="V136" s="73">
        <f>152144.93</f>
        <v>152144.93</v>
      </c>
      <c r="W136" s="73">
        <f>100000-100000+7971.07</f>
        <v>7971.07</v>
      </c>
      <c r="X136" s="73">
        <f>346000-346000+242000</f>
        <v>242000</v>
      </c>
      <c r="Y136" s="22">
        <f t="shared" si="18"/>
        <v>446000</v>
      </c>
      <c r="Z136" s="68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72">
        <f t="shared" si="19"/>
        <v>88.79203684210526</v>
      </c>
      <c r="L137" s="65">
        <f>H137-(M137+N137+O137+P137+Q137+R137+S137+T137+U137)</f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8"/>
        <v>1540000</v>
      </c>
      <c r="Z137" s="68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72">
        <f t="shared" si="19"/>
        <v>100</v>
      </c>
      <c r="L138" s="65">
        <f>H138-(M138+N138+O138+P138+Q138+R138+S138+T138+U138)</f>
        <v>0</v>
      </c>
      <c r="M138" s="73"/>
      <c r="N138" s="73"/>
      <c r="O138" s="73"/>
      <c r="P138" s="73"/>
      <c r="Q138" s="73"/>
      <c r="R138" s="73"/>
      <c r="S138" s="73"/>
      <c r="T138" s="73"/>
      <c r="U138" s="73">
        <f>300000</f>
        <v>300000</v>
      </c>
      <c r="V138" s="73">
        <f>152144.93-152144.93</f>
        <v>0</v>
      </c>
      <c r="W138" s="73">
        <f>195800-147855.07</f>
        <v>47944.92999999999</v>
      </c>
      <c r="X138" s="73">
        <f>52055.07</f>
        <v>52055.07</v>
      </c>
      <c r="Y138" s="22">
        <f t="shared" si="18"/>
        <v>400000</v>
      </c>
      <c r="Z138" s="68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72">
        <f t="shared" si="19"/>
        <v>0</v>
      </c>
      <c r="L139" s="65">
        <f t="shared" si="15"/>
        <v>-50000</v>
      </c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8"/>
        <v>950000</v>
      </c>
      <c r="Z139" s="68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 t="shared" si="17"/>
        <v>95.70049419849357</v>
      </c>
      <c r="J140" s="72">
        <f t="shared" si="19"/>
        <v>100</v>
      </c>
      <c r="L140" s="65">
        <f t="shared" si="15"/>
        <v>0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>
        <f>-20384</f>
        <v>-20384</v>
      </c>
      <c r="V140" s="73"/>
      <c r="W140" s="73">
        <f>20384</f>
        <v>20384</v>
      </c>
      <c r="X140" s="73"/>
      <c r="Y140" s="22">
        <f t="shared" si="18"/>
        <v>474101</v>
      </c>
      <c r="Z140" s="68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/>
      <c r="I141" s="41"/>
      <c r="J141" s="72">
        <f t="shared" si="19"/>
        <v>0</v>
      </c>
      <c r="L141" s="65">
        <f t="shared" si="15"/>
        <v>-103000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f>100000-47000</f>
        <v>53000</v>
      </c>
      <c r="V141" s="73"/>
      <c r="W141" s="73">
        <f>47000</f>
        <v>47000</v>
      </c>
      <c r="X141" s="73"/>
      <c r="Y141" s="22">
        <f t="shared" si="18"/>
        <v>150000</v>
      </c>
      <c r="Z141" s="68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72" t="e">
        <f t="shared" si="19"/>
        <v>#DIV/0!</v>
      </c>
      <c r="L142" s="65">
        <f t="shared" si="15"/>
        <v>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>
        <f>-72500</f>
        <v>-72500</v>
      </c>
      <c r="V142" s="73"/>
      <c r="W142" s="73">
        <f>72500</f>
        <v>72500</v>
      </c>
      <c r="X142" s="73"/>
      <c r="Y142" s="22">
        <f t="shared" si="18"/>
        <v>72500</v>
      </c>
      <c r="Z142" s="68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/>
      <c r="I143" s="42">
        <f>H143/D143*100</f>
        <v>0</v>
      </c>
      <c r="J143" s="72">
        <f t="shared" si="19"/>
        <v>0</v>
      </c>
      <c r="L143" s="65">
        <f t="shared" si="15"/>
        <v>-117000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8"/>
        <v>117000</v>
      </c>
      <c r="Z143" s="68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/>
      <c r="I144" s="42">
        <f>H144/D144*100</f>
        <v>0</v>
      </c>
      <c r="J144" s="72">
        <f t="shared" si="19"/>
        <v>0</v>
      </c>
      <c r="L144" s="65">
        <f t="shared" si="15"/>
        <v>-116000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8"/>
        <v>116000</v>
      </c>
      <c r="Z144" s="68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72">
        <f t="shared" si="19"/>
        <v>21.153846153846153</v>
      </c>
      <c r="L145" s="65">
        <f>H145-(M145+N145+O145+P145+Q145+R145+S145+T145+U145)</f>
        <v>-287000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8"/>
        <v>714000</v>
      </c>
      <c r="Z145" s="68">
        <f t="shared" si="16"/>
        <v>0</v>
      </c>
    </row>
    <row r="146" spans="1:26" ht="36" customHeight="1">
      <c r="A146" s="82" t="s">
        <v>64</v>
      </c>
      <c r="B146" s="82"/>
      <c r="C146" s="82"/>
      <c r="D146" s="82"/>
      <c r="E146" s="82"/>
      <c r="F146" s="82"/>
      <c r="G146" s="82"/>
      <c r="H146" s="82"/>
      <c r="I146" s="82"/>
      <c r="J146" s="82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79338873.94</v>
      </c>
      <c r="I147" s="38">
        <f>H147/D147*100</f>
        <v>53.71550415024847</v>
      </c>
      <c r="J147" s="38">
        <f>H147/(N147+O147+P147+Q147+R147+S147+T147+U147)*100</f>
        <v>80.46142344302298</v>
      </c>
      <c r="K147" s="64"/>
      <c r="L147" s="65">
        <f>H147-(M147+N147+O147+P147+Q147+R147+S147+T147+U147)</f>
        <v>-19265986.060000002</v>
      </c>
      <c r="M147" s="66">
        <f>SUM(M148:M181)</f>
        <v>0</v>
      </c>
      <c r="N147" s="66">
        <f aca="true" t="shared" si="26" ref="N147:X147">SUM(N148:N181)</f>
        <v>1600000</v>
      </c>
      <c r="O147" s="66">
        <f t="shared" si="26"/>
        <v>28719871.54</v>
      </c>
      <c r="P147" s="66">
        <f t="shared" si="26"/>
        <v>16291625</v>
      </c>
      <c r="Q147" s="66">
        <f t="shared" si="26"/>
        <v>6529200</v>
      </c>
      <c r="R147" s="66">
        <f t="shared" si="26"/>
        <v>3392528.46</v>
      </c>
      <c r="S147" s="66">
        <f t="shared" si="26"/>
        <v>12752595</v>
      </c>
      <c r="T147" s="66">
        <f t="shared" si="26"/>
        <v>19079605</v>
      </c>
      <c r="U147" s="66">
        <f t="shared" si="26"/>
        <v>10239435</v>
      </c>
      <c r="V147" s="66">
        <f t="shared" si="26"/>
        <v>11272700</v>
      </c>
      <c r="W147" s="66">
        <f t="shared" si="26"/>
        <v>21354240</v>
      </c>
      <c r="X147" s="66">
        <f t="shared" si="26"/>
        <v>16470200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79338873.94</v>
      </c>
      <c r="I148" s="53">
        <f>H148/D148*100</f>
        <v>53.71550415024847</v>
      </c>
      <c r="J148" s="76">
        <f>H148/(N147+O147+P147+Q147+R147+S147+T147+U147)*100</f>
        <v>80.46142344302298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H149/(N149+O149+P149+Q149+R149+S149+T149+U149)*100</f>
        <v>0</v>
      </c>
      <c r="L149" s="65">
        <f>H149-(M149+N149+O149+P149+Q149+R149+S149+T149+U149)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7" ref="J150:J181">H150/(N150+O150+P150+Q150+R150+S150+T150+U150)*100</f>
        <v>0</v>
      </c>
      <c r="L150" s="65">
        <f aca="true" t="shared" si="28" ref="L150:L182">H150-(M150+N150+O150+P150+Q150+R150+S150+T150+U150)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>
        <f t="shared" si="27"/>
        <v>0</v>
      </c>
      <c r="L151" s="65">
        <f t="shared" si="28"/>
        <v>-1000000</v>
      </c>
      <c r="M151" s="71"/>
      <c r="N151" s="71"/>
      <c r="O151" s="71"/>
      <c r="P151" s="71"/>
      <c r="Q151" s="71"/>
      <c r="R151" s="71"/>
      <c r="S151" s="71"/>
      <c r="T151" s="49"/>
      <c r="U151" s="49">
        <v>1000000</v>
      </c>
      <c r="V151" s="49"/>
      <c r="W151" s="49"/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72">
        <f t="shared" si="27"/>
        <v>85.58200000000001</v>
      </c>
      <c r="L152" s="65">
        <f t="shared" si="28"/>
        <v>-43254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7"/>
        <v>#DIV/0!</v>
      </c>
      <c r="L153" s="65">
        <f t="shared" si="28"/>
        <v>0</v>
      </c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49">
        <v>500000</v>
      </c>
      <c r="X153" s="77"/>
      <c r="Y153" s="22">
        <f t="shared" si="31"/>
        <v>500000</v>
      </c>
      <c r="Z153" s="68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72">
        <f t="shared" si="27"/>
        <v>0</v>
      </c>
      <c r="L154" s="65">
        <f t="shared" si="28"/>
        <v>-500000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1"/>
        <v>1000000</v>
      </c>
      <c r="Z154" s="68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>H155/G155*100</f>
        <v>4.1888000000000005</v>
      </c>
      <c r="J155" s="72">
        <f t="shared" si="27"/>
        <v>95.19999999999999</v>
      </c>
      <c r="L155" s="65">
        <f t="shared" si="28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8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>H156/G156*100</f>
        <v>58.264490971428586</v>
      </c>
      <c r="J156" s="72">
        <f t="shared" si="27"/>
        <v>58.264490971428586</v>
      </c>
      <c r="L156" s="65">
        <f t="shared" si="28"/>
        <v>-3651857.039999999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8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>H157/G157*100</f>
        <v>79.79304627906977</v>
      </c>
      <c r="J157" s="72">
        <f t="shared" si="27"/>
        <v>79.79304627906977</v>
      </c>
      <c r="L157" s="65">
        <f t="shared" si="28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1"/>
        <v>8600000</v>
      </c>
      <c r="Z157" s="68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>H158/G158*100</f>
        <v>8</v>
      </c>
      <c r="J158" s="72">
        <f t="shared" si="27"/>
        <v>57.14285714285714</v>
      </c>
      <c r="L158" s="65">
        <f t="shared" si="28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1"/>
        <v>5000000</v>
      </c>
      <c r="Z158" s="68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>H159/G159*100</f>
        <v>0.5644337662337662</v>
      </c>
      <c r="J159" s="72">
        <f t="shared" si="27"/>
        <v>96.5808888888889</v>
      </c>
      <c r="L159" s="65">
        <f t="shared" si="28"/>
        <v>-1538.5999999999985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f>3775000-3880000</f>
        <v>-105000</v>
      </c>
      <c r="V159" s="71">
        <f>1550000</f>
        <v>1550000</v>
      </c>
      <c r="W159" s="71">
        <f>714800+2330000</f>
        <v>3044800</v>
      </c>
      <c r="X159" s="71">
        <v>3060200</v>
      </c>
      <c r="Y159" s="22">
        <f t="shared" si="31"/>
        <v>7700000</v>
      </c>
      <c r="Z159" s="68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/>
      <c r="I160" s="43"/>
      <c r="J160" s="72">
        <f t="shared" si="27"/>
        <v>0</v>
      </c>
      <c r="L160" s="65">
        <f t="shared" si="28"/>
        <v>-300000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1"/>
        <v>1000000</v>
      </c>
      <c r="Z160" s="68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72">
        <f t="shared" si="27"/>
        <v>0</v>
      </c>
      <c r="L161" s="65">
        <f t="shared" si="28"/>
        <v>-250000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1"/>
        <v>500000</v>
      </c>
      <c r="Z161" s="68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72">
        <f t="shared" si="27"/>
        <v>78.73974796779032</v>
      </c>
      <c r="L162" s="65">
        <f t="shared" si="28"/>
        <v>-890285.8099999996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</f>
        <v>171435</v>
      </c>
      <c r="V162" s="71"/>
      <c r="W162" s="71">
        <f>2385565-1585125+12000</f>
        <v>812440</v>
      </c>
      <c r="X162" s="71"/>
      <c r="Y162" s="22">
        <f t="shared" si="31"/>
        <v>5000000</v>
      </c>
      <c r="Z162" s="68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72">
        <f t="shared" si="27"/>
        <v>2.878216</v>
      </c>
      <c r="L163" s="65">
        <f t="shared" si="28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1"/>
        <v>500000</v>
      </c>
      <c r="Z163" s="68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7"/>
        <v>48.892799999999994</v>
      </c>
      <c r="L164" s="65">
        <f t="shared" si="28"/>
        <v>-511072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/>
      <c r="V164" s="71"/>
      <c r="W164" s="71"/>
      <c r="X164" s="71"/>
      <c r="Y164" s="22">
        <f t="shared" si="31"/>
        <v>1000000</v>
      </c>
      <c r="Z164" s="68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</f>
        <v>49000</v>
      </c>
      <c r="I165" s="43">
        <f>H165/G165*100</f>
        <v>3.740458015267176</v>
      </c>
      <c r="J165" s="72">
        <f t="shared" si="27"/>
        <v>49</v>
      </c>
      <c r="L165" s="65">
        <f t="shared" si="28"/>
        <v>-51000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8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</f>
        <v>32473008.84</v>
      </c>
      <c r="I166" s="43">
        <f>H166/G166*100</f>
        <v>72.97305357303371</v>
      </c>
      <c r="J166" s="72">
        <f t="shared" si="27"/>
        <v>93.19674785828059</v>
      </c>
      <c r="L166" s="65">
        <f t="shared" si="28"/>
        <v>-2370491.16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</f>
        <v>100000</v>
      </c>
      <c r="V166" s="49">
        <f>1833500+100000</f>
        <v>1933500</v>
      </c>
      <c r="W166" s="49">
        <f>163000+2700000</f>
        <v>2863000</v>
      </c>
      <c r="X166" s="49">
        <f>160000+2700000+2000000</f>
        <v>4860000</v>
      </c>
      <c r="Y166" s="22">
        <f t="shared" si="31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72">
        <f t="shared" si="27"/>
        <v>0</v>
      </c>
      <c r="L167" s="65">
        <f t="shared" si="28"/>
        <v>-900000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v>600000</v>
      </c>
      <c r="V167" s="71">
        <v>600000</v>
      </c>
      <c r="W167" s="71"/>
      <c r="X167" s="71"/>
      <c r="Y167" s="22">
        <f t="shared" si="31"/>
        <v>1500000</v>
      </c>
      <c r="Z167" s="68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</f>
        <v>1335979.42</v>
      </c>
      <c r="I168" s="43">
        <f>H168/G168*100</f>
        <v>41.749356875</v>
      </c>
      <c r="J168" s="72">
        <f t="shared" si="27"/>
        <v>49.84997835820895</v>
      </c>
      <c r="L168" s="65">
        <f t="shared" si="28"/>
        <v>-1344020.58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>
        <f>-520000</f>
        <v>-520000</v>
      </c>
      <c r="V168" s="71">
        <f>120000</f>
        <v>120000</v>
      </c>
      <c r="W168" s="71">
        <f>400000</f>
        <v>400000</v>
      </c>
      <c r="X168" s="71"/>
      <c r="Y168" s="22">
        <f t="shared" si="31"/>
        <v>3200000</v>
      </c>
      <c r="Z168" s="68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72" t="e">
        <f t="shared" si="27"/>
        <v>#DIV/0!</v>
      </c>
      <c r="L169" s="65">
        <f t="shared" si="28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1"/>
        <v>147000</v>
      </c>
      <c r="Z169" s="68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72" t="e">
        <f t="shared" si="27"/>
        <v>#DIV/0!</v>
      </c>
      <c r="L170" s="65">
        <f t="shared" si="28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1"/>
        <v>1036000</v>
      </c>
      <c r="Z170" s="68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72" t="e">
        <f t="shared" si="27"/>
        <v>#DIV/0!</v>
      </c>
      <c r="L171" s="65">
        <f t="shared" si="28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1"/>
        <v>137000</v>
      </c>
      <c r="Z171" s="68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72" t="e">
        <f t="shared" si="27"/>
        <v>#DIV/0!</v>
      </c>
      <c r="L172" s="65">
        <f t="shared" si="28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1"/>
        <v>254000</v>
      </c>
      <c r="Z172" s="68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72" t="e">
        <f t="shared" si="27"/>
        <v>#DIV/0!</v>
      </c>
      <c r="L173" s="65">
        <f t="shared" si="28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1"/>
        <v>400000</v>
      </c>
      <c r="Z173" s="68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72" t="e">
        <f t="shared" si="27"/>
        <v>#DIV/0!</v>
      </c>
      <c r="L174" s="65">
        <f t="shared" si="28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1"/>
        <v>248000</v>
      </c>
      <c r="Z174" s="68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</f>
        <v>750485.45</v>
      </c>
      <c r="I175" s="43">
        <f>H175/G175*100</f>
        <v>22.741983333333334</v>
      </c>
      <c r="J175" s="72">
        <f t="shared" si="27"/>
        <v>83.38727222222222</v>
      </c>
      <c r="L175" s="65">
        <f t="shared" si="28"/>
        <v>-149514.55000000005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>
        <f>-2400000</f>
        <v>-2400000</v>
      </c>
      <c r="V175" s="71">
        <f>2400000</f>
        <v>2400000</v>
      </c>
      <c r="W175" s="71"/>
      <c r="X175" s="71"/>
      <c r="Y175" s="22">
        <f t="shared" si="31"/>
        <v>3300000</v>
      </c>
      <c r="Z175" s="68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</f>
        <v>6186713.109999999</v>
      </c>
      <c r="I176" s="43">
        <f>H176/G176*100</f>
        <v>51.04548770627062</v>
      </c>
      <c r="J176" s="72">
        <f t="shared" si="27"/>
        <v>59.48305043842781</v>
      </c>
      <c r="L176" s="65">
        <f t="shared" si="28"/>
        <v>-4214086.890000001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>
        <f>-330000-100000+1500000</f>
        <v>1070000</v>
      </c>
      <c r="V176" s="71">
        <f>2789200+330000+100000-1500000</f>
        <v>1719200</v>
      </c>
      <c r="W176" s="71"/>
      <c r="X176" s="71"/>
      <c r="Y176" s="22">
        <f t="shared" si="31"/>
        <v>12120000</v>
      </c>
      <c r="Z176" s="68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50">
        <f>4351772.44+7541+3400000+581526.71+692783.83+51856.29-69412.37+3809977.2+5016173</f>
        <v>17842218.1</v>
      </c>
      <c r="I177" s="43">
        <f>H177/G177*100</f>
        <v>82.98706093023257</v>
      </c>
      <c r="J177" s="72">
        <f t="shared" si="27"/>
        <v>97.87283653318705</v>
      </c>
      <c r="L177" s="65">
        <f t="shared" si="28"/>
        <v>-387781.8999999985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</f>
        <v>9196000</v>
      </c>
      <c r="V177" s="49">
        <f>3000000-330000-100000-2570000</f>
        <v>0</v>
      </c>
      <c r="W177" s="49">
        <f>3000000-2730000</f>
        <v>270000</v>
      </c>
      <c r="X177" s="49">
        <v>3000000</v>
      </c>
      <c r="Y177" s="22">
        <f t="shared" si="31"/>
        <v>21500000</v>
      </c>
      <c r="Z177" s="68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</f>
        <v>4120996.41</v>
      </c>
      <c r="I178" s="43">
        <f>H178/G178*100</f>
        <v>31.69997238461539</v>
      </c>
      <c r="J178" s="72">
        <f t="shared" si="27"/>
        <v>99.51693817918378</v>
      </c>
      <c r="L178" s="65">
        <f t="shared" si="28"/>
        <v>-20003.58999999985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/>
      <c r="V178" s="49"/>
      <c r="W178" s="49">
        <f>2000000-141000+5000000</f>
        <v>6859000</v>
      </c>
      <c r="X178" s="49">
        <v>2000000</v>
      </c>
      <c r="Y178" s="22">
        <f t="shared" si="31"/>
        <v>13000000</v>
      </c>
      <c r="Z178" s="68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72">
        <f t="shared" si="27"/>
        <v>98.383</v>
      </c>
      <c r="L179" s="65">
        <f t="shared" si="28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1"/>
        <v>1000000</v>
      </c>
      <c r="Z179" s="68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72" t="e">
        <f t="shared" si="27"/>
        <v>#DIV/0!</v>
      </c>
      <c r="L180" s="65">
        <f t="shared" si="28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1"/>
        <v>500000</v>
      </c>
      <c r="Z180" s="68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72">
        <f t="shared" si="27"/>
        <v>0</v>
      </c>
      <c r="L181" s="65">
        <f t="shared" si="28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1"/>
        <v>1295000</v>
      </c>
      <c r="Z181" s="68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160224794.98</v>
      </c>
      <c r="I182" s="38">
        <f>H182/D182*100</f>
        <v>53.64490745751226</v>
      </c>
      <c r="J182" s="81">
        <f>H182/(N182+O182+P182+Q182+R182+S182+T182+U182)*100</f>
        <v>81.84896568139142</v>
      </c>
      <c r="L182" s="65">
        <f t="shared" si="28"/>
        <v>-41032657.099999994</v>
      </c>
      <c r="M182" s="71">
        <f>M9+M147</f>
        <v>5500800</v>
      </c>
      <c r="N182" s="71">
        <f aca="true" t="shared" si="33" ref="N182:X182">N9+N26+N147</f>
        <v>7474745</v>
      </c>
      <c r="O182" s="71">
        <f t="shared" si="33"/>
        <v>53795455.42</v>
      </c>
      <c r="P182" s="71">
        <f t="shared" si="33"/>
        <v>21619022</v>
      </c>
      <c r="Q182" s="71">
        <f t="shared" si="33"/>
        <v>15812043</v>
      </c>
      <c r="R182" s="71">
        <f t="shared" si="33"/>
        <v>11312906.419999998</v>
      </c>
      <c r="S182" s="71">
        <f t="shared" si="33"/>
        <v>26779125.97</v>
      </c>
      <c r="T182" s="71">
        <f t="shared" si="33"/>
        <v>38469787.04</v>
      </c>
      <c r="U182" s="71">
        <f t="shared" si="33"/>
        <v>20493567.23</v>
      </c>
      <c r="V182" s="71">
        <f t="shared" si="33"/>
        <v>29045132.58</v>
      </c>
      <c r="W182" s="71">
        <f t="shared" si="33"/>
        <v>35701624.79</v>
      </c>
      <c r="X182" s="71">
        <f t="shared" si="33"/>
        <v>32672408.12</v>
      </c>
      <c r="Y182" s="22">
        <f>SUM(M182:X182)</f>
        <v>298676617.56999993</v>
      </c>
      <c r="Z182" s="68">
        <f>Y182-D182</f>
        <v>0.2099999189376831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2017-09-14T14:00:46Z</dcterms:modified>
  <cp:category/>
  <cp:version/>
  <cp:contentType/>
  <cp:contentStatus/>
</cp:coreProperties>
</file>